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comments9.xml" ContentType="application/vnd.openxmlformats-officedocument.spreadsheetml.comments+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309"/>
  <workbookPr showInkAnnotation="0" codeName="ThisWorkbook"/>
  <mc:AlternateContent xmlns:mc="http://schemas.openxmlformats.org/markup-compatibility/2006">
    <mc:Choice Requires="x15">
      <x15ac:absPath xmlns:x15ac="http://schemas.microsoft.com/office/spreadsheetml/2010/11/ac" url="/Users/david/Library/CloudStorage/GoogleDrive-david@foundersforge.com/Shared drives/FoundersForge Operations/Avante Program/Book/Resources/"/>
    </mc:Choice>
  </mc:AlternateContent>
  <xr:revisionPtr revIDLastSave="0" documentId="8_{546B6088-A929-044B-98AE-D4E0067828FB}" xr6:coauthVersionLast="47" xr6:coauthVersionMax="47" xr10:uidLastSave="{00000000-0000-0000-0000-000000000000}"/>
  <bookViews>
    <workbookView xWindow="-9680" yWindow="-28300" windowWidth="50880" windowHeight="27980" tabRatio="801" xr2:uid="{00000000-000D-0000-FFFF-FFFF00000000}"/>
  </bookViews>
  <sheets>
    <sheet name="Directions" sheetId="1" r:id="rId1"/>
    <sheet name="1-StartingPoint" sheetId="2" r:id="rId2"/>
    <sheet name="2a-PayrollYear1" sheetId="28" r:id="rId3"/>
    <sheet name="2b-PayrollYrs1-3" sheetId="37" r:id="rId4"/>
    <sheet name="3a-SalesForecastYear1" sheetId="17" r:id="rId5"/>
    <sheet name="3b-SalesForecastYrs1-3" sheetId="21" r:id="rId6"/>
    <sheet name="4-AdditionalInputs" sheetId="24" r:id="rId7"/>
    <sheet name="5a-OpExYear1" sheetId="22" r:id="rId8"/>
    <sheet name="5b-OpExYrs1-3" sheetId="7" r:id="rId9"/>
    <sheet name="6a-CashFlowYear1" sheetId="25" r:id="rId10"/>
    <sheet name="6b-CashFlowYrs1-3" sheetId="38" r:id="rId11"/>
    <sheet name="7a-IncomeStatementYear1" sheetId="39" r:id="rId12"/>
    <sheet name="7b-IncomeStatementYrs1-3" sheetId="6" r:id="rId13"/>
    <sheet name="8-BalanceSheet" sheetId="5" r:id="rId14"/>
    <sheet name="BreakevenAnalysis" sheetId="26" r:id="rId15"/>
    <sheet name="FinancialRatios" sheetId="27" r:id="rId16"/>
    <sheet name="DiagnosticTools" sheetId="36" r:id="rId17"/>
    <sheet name="COGS Calculator" sheetId="29" r:id="rId18"/>
    <sheet name="Amortization&amp;Depreciation" sheetId="31" r:id="rId19"/>
  </sheets>
  <definedNames>
    <definedName name="AddLoans">'1-StartingPoint'!$D$36</definedName>
    <definedName name="Advertising">'1-StartingPoint'!$C$26</definedName>
    <definedName name="Annual_Interest_Rate" localSheetId="16">#REF!</definedName>
    <definedName name="Annual_Interest_Rate">#REF!</definedName>
    <definedName name="Beg_Bal" localSheetId="16">#REF!</definedName>
    <definedName name="Beg_Bal">#REF!</definedName>
    <definedName name="Buildings">'1-StartingPoint'!$C$10</definedName>
    <definedName name="Category1">'3a-SalesForecastYear1'!$B$9</definedName>
    <definedName name="Category1_Annual_Sales">'3a-SalesForecastYear1'!$O$19</definedName>
    <definedName name="Category1_SalesPrice">'3a-SalesForecastYear1'!#REF!</definedName>
    <definedName name="Category2">'3a-SalesForecastYear1'!$B$10</definedName>
    <definedName name="Category2_Annual_Sales">'3a-SalesForecastYear1'!$O$25</definedName>
    <definedName name="Category2_SalesPrice">'3a-SalesForecastYear1'!#REF!</definedName>
    <definedName name="Category3">'3a-SalesForecastYear1'!$B$11</definedName>
    <definedName name="Category3_Annual_Sales">'3a-SalesForecastYear1'!$O$31</definedName>
    <definedName name="Category3_SalesPrice">'3a-SalesForecastYear1'!#REF!</definedName>
    <definedName name="Category4">'3a-SalesForecastYear1'!$B$12</definedName>
    <definedName name="Category4_Annual_Sales">'3a-SalesForecastYear1'!$O$37</definedName>
    <definedName name="Category4_SalesPrice">'3a-SalesForecastYear1'!#REF!</definedName>
    <definedName name="Category5">'3a-SalesForecastYear1'!$B$13</definedName>
    <definedName name="Category5_Annual_Sales">'3a-SalesForecastYear1'!$O$43</definedName>
    <definedName name="Category5_SalesPrice">'3a-SalesForecastYear1'!#REF!</definedName>
    <definedName name="Category6">'3a-SalesForecastYear1'!$B$14</definedName>
    <definedName name="Category6_Annual_Sales">'3a-SalesForecastYear1'!$O$49</definedName>
    <definedName name="Category6_SalesPrice">'3a-SalesForecastYear1'!#REF!</definedName>
    <definedName name="Catergory6">'3a-SalesForecastYear1'!$B$14</definedName>
    <definedName name="CCDebt">'1-StartingPoint'!$D$39</definedName>
    <definedName name="COGS_Annual_Total">'3a-SalesForecastYear1'!$O$54</definedName>
    <definedName name="CommLoan">'1-StartingPoint'!$D$37</definedName>
    <definedName name="CommMortgage">'1-StartingPoint'!$D$38</definedName>
    <definedName name="ContingencyCash">'1-StartingPoint'!#REF!</definedName>
    <definedName name="Equipment">'1-StartingPoint'!$C$12</definedName>
    <definedName name="Extra_Pay" localSheetId="16">#REF!</definedName>
    <definedName name="Extra_Pay">#REF!</definedName>
    <definedName name="Furniture">'1-StartingPoint'!$C$13</definedName>
    <definedName name="Growth_Rate_Yr2">'3b-SalesForecastYrs1-3'!$C$7</definedName>
    <definedName name="Growth_Rate_Yr3">'3b-SalesForecastYrs1-3'!$C$8</definedName>
    <definedName name="Hours" localSheetId="4">'3a-SalesForecastYear1'!$C$9:$C$14</definedName>
    <definedName name="Info_Entered" localSheetId="16">#REF!</definedName>
    <definedName name="Info_Entered">#REF!</definedName>
    <definedName name="Int" localSheetId="16">#REF!</definedName>
    <definedName name="Int">#REF!</definedName>
    <definedName name="InterestRate_ShortTerm" localSheetId="16">#REF!</definedName>
    <definedName name="InterestRate_ShortTerm">#REF!</definedName>
    <definedName name="Inventory">'1-StartingPoint'!$C$21</definedName>
    <definedName name="Land">'1-StartingPoint'!$C$9</definedName>
    <definedName name="Last_Row" localSheetId="16">IF(DiagnosticTools!Values_Entered,Header_Row+DiagnosticTools!Number_of_Payments,Header_Row)</definedName>
    <definedName name="Last_Row">IF(Values_Entered,Header_Row+Number_of_Payments,Header_Row)</definedName>
    <definedName name="LeaseImprovements">'1-StartingPoint'!$C$11</definedName>
    <definedName name="LegalAcctFees">'1-StartingPoint'!$C$22</definedName>
    <definedName name="Licenses">'1-StartingPoint'!$C$27</definedName>
    <definedName name="Loan_Amount" localSheetId="16">#REF!</definedName>
    <definedName name="Loan_Amount">#REF!</definedName>
    <definedName name="Loan_Term_Years" localSheetId="16">#REF!</definedName>
    <definedName name="Loan_Term_Years">#REF!</definedName>
    <definedName name="LoanAmount_ShortTerm" localSheetId="16">#REF!</definedName>
    <definedName name="LoanAmount_ShortTerm">#REF!</definedName>
    <definedName name="LoanTermYears_ShortTerm" localSheetId="16">#REF!</definedName>
    <definedName name="LoanTermYears_ShortTerm">#REF!</definedName>
    <definedName name="Margin_Annual_Total">'3a-SalesForecastYear1'!$O$55</definedName>
    <definedName name="Misc_Expenses">'5a-OpExYear1'!$O$19</definedName>
    <definedName name="Monthly_Payment_LongTerm" localSheetId="16">#REF!</definedName>
    <definedName name="Monthly_Payment_LongTerm">#REF!</definedName>
    <definedName name="NetIncomeY1">'7b-IncomeStatementYrs1-3'!$C$59</definedName>
    <definedName name="NetIncomeY2">'7b-IncomeStatementYrs1-3'!$E$59</definedName>
    <definedName name="NetIncomeY3">'7b-IncomeStatementYrs1-3'!$G$59</definedName>
    <definedName name="Number_of_Payments" localSheetId="16">MATCH(0.01,End_Bal,-1)+1</definedName>
    <definedName name="Number_of_Payments">MATCH(0.01,End_Bal,-1)+1</definedName>
    <definedName name="OfficeSupplies_Expenses">'5a-OpExYear1'!$O$20</definedName>
    <definedName name="Other_Expenses">'5a-OpExYear1'!$O$21</definedName>
    <definedName name="OtherBankDebt">'1-StartingPoint'!$D$41</definedName>
    <definedName name="OtherFixedAssets">'1-StartingPoint'!$C$15</definedName>
    <definedName name="OtherStartUp">'1-StartingPoint'!$C$28</definedName>
    <definedName name="OutsideInvest">'1-StartingPoint'!$D$35</definedName>
    <definedName name="OwnerEquity">'1-StartingPoint'!$D$34</definedName>
    <definedName name="Pay_Num" localSheetId="16">#REF!</definedName>
    <definedName name="Pay_Num">#REF!</definedName>
    <definedName name="Payments_per_Year" localSheetId="16">#REF!</definedName>
    <definedName name="Payments_per_Year">#REF!</definedName>
    <definedName name="PreOpenWages">'1-StartingPoint'!$C$19</definedName>
    <definedName name="PrepaidInsurance">'1-StartingPoint'!$C$20</definedName>
    <definedName name="PricePerUnit_Annual_Total">'3a-SalesForecastYear1'!#REF!</definedName>
    <definedName name="Princ" localSheetId="16">#REF!</definedName>
    <definedName name="Princ">#REF!</definedName>
    <definedName name="_xlnm.Print_Area" localSheetId="1">'1-StartingPoint'!$B$4:$H$52</definedName>
    <definedName name="_xlnm.Print_Area" localSheetId="2">'2a-PayrollYear1'!$A$4:$R$25</definedName>
    <definedName name="_xlnm.Print_Area" localSheetId="3">'2b-PayrollYrs1-3'!$B$4:$G$26</definedName>
    <definedName name="_xlnm.Print_Area" localSheetId="4">'3a-SalesForecastYear1'!$B$4:$Q$55</definedName>
    <definedName name="_xlnm.Print_Area" localSheetId="5">'3b-SalesForecastYrs1-3'!$A$4:$AF$49</definedName>
    <definedName name="_xlnm.Print_Area" localSheetId="6">'4-AdditionalInputs'!$B$4:$R$44</definedName>
    <definedName name="_xlnm.Print_Area" localSheetId="7">'5a-OpExYear1'!$B$4:$O$38</definedName>
    <definedName name="_xlnm.Print_Area" localSheetId="8">'5b-OpExYrs1-3'!$B$4:$G$36</definedName>
    <definedName name="_xlnm.Print_Area" localSheetId="9">'6a-CashFlowYear1'!$B$4:$O$34</definedName>
    <definedName name="_xlnm.Print_Area" localSheetId="10">'6b-CashFlowYrs1-3'!$A$3:$AB$33</definedName>
    <definedName name="_xlnm.Print_Area" localSheetId="11">'7a-IncomeStatementYear1'!$B$4:$O$60</definedName>
    <definedName name="_xlnm.Print_Area" localSheetId="12">'7b-IncomeStatementYrs1-3'!$B$4:$H$59</definedName>
    <definedName name="_xlnm.Print_Area" localSheetId="13">'8-BalanceSheet'!$C$4:$F$46</definedName>
    <definedName name="_xlnm.Print_Area" localSheetId="18">'Amortization&amp;Depreciation'!$B$4:$O$156</definedName>
    <definedName name="_xlnm.Print_Area" localSheetId="14">BreakevenAnalysis!$B$4:$C$20</definedName>
    <definedName name="_xlnm.Print_Area" localSheetId="17">'COGS Calculator'!$B$4:$C$26</definedName>
    <definedName name="_xlnm.Print_Area" localSheetId="16">DiagnosticTools!$B$4:$D$36</definedName>
    <definedName name="_xlnm.Print_Area" localSheetId="0">Directions!$A$6:$H$44</definedName>
    <definedName name="_xlnm.Print_Area" localSheetId="15">FinancialRatios!$B$4:$G$28</definedName>
    <definedName name="_xlnm.Print_Titles" localSheetId="5">'3b-SalesForecastYrs1-3'!$A:$A</definedName>
    <definedName name="_xlnm.Print_Titles" localSheetId="10">'6b-CashFlowYrs1-3'!$A:$A</definedName>
    <definedName name="Projected_Yr2_COGS">'3b-SalesForecastYrs1-3'!#REF!</definedName>
    <definedName name="RentDeposit">'1-StartingPoint'!$C$23</definedName>
    <definedName name="Sales_Annual_Total">'3a-SalesForecastYear1'!$O$53</definedName>
    <definedName name="SalesForecast_yr1">'3b-SalesForecastYrs1-3'!#REF!</definedName>
    <definedName name="SalesForecast_yr2">'3b-SalesForecastYrs1-3'!#REF!</definedName>
    <definedName name="SalesForecast_yr3">'3b-SalesForecastYrs1-3'!#REF!</definedName>
    <definedName name="Sched_Pay" localSheetId="16">#REF!</definedName>
    <definedName name="Sched_Pay">#REF!</definedName>
    <definedName name="Scheduled_Extra_Payments" localSheetId="16">#REF!</definedName>
    <definedName name="Scheduled_Extra_Payments">#REF!</definedName>
    <definedName name="Scheduled_Monthly_Payment" localSheetId="16">#REF!</definedName>
    <definedName name="Scheduled_Monthly_Payment">#REF!</definedName>
    <definedName name="Supplies">'1-StartingPoint'!$C$25</definedName>
    <definedName name="Total_Amount_Paid" localSheetId="16">#REF!</definedName>
    <definedName name="Total_Amount_Paid">#REF!</definedName>
    <definedName name="Total_Fixed_Assets">'1-StartingPoint'!$C$8:$C$15</definedName>
    <definedName name="Total_Interest_Paid" localSheetId="16">#REF!</definedName>
    <definedName name="Total_Interest_Paid">#REF!</definedName>
    <definedName name="Total_Pay" localSheetId="16">#REF!</definedName>
    <definedName name="Total_Pay">#REF!</definedName>
    <definedName name="Total_Payments_LongTerm" localSheetId="16">#REF!</definedName>
    <definedName name="Total_Payments_LongTerm">#REF!</definedName>
    <definedName name="TotalFixedAssets">'1-StartingPoint'!$C$16</definedName>
    <definedName name="TotalFunding">'1-StartingPoint'!$D$42</definedName>
    <definedName name="TotalOperatingCapital">'1-StartingPoint'!$C$30</definedName>
    <definedName name="TotalRequiredFunds">'1-StartingPoint'!$C$31</definedName>
    <definedName name="Unit1">'3a-SalesForecastYear1'!$C$9</definedName>
    <definedName name="Unit1_Annual">'3a-SalesForecastYear1'!$O$18</definedName>
    <definedName name="Unit1_Annual_Sales">'3a-SalesForecastYear1'!$O$19</definedName>
    <definedName name="Unit2">'3a-SalesForecastYear1'!$C$10</definedName>
    <definedName name="Unit2_Annual">'3a-SalesForecastYear1'!$O$24</definedName>
    <definedName name="Unit2_Annual_Sales">'3a-SalesForecastYear1'!$O$25</definedName>
    <definedName name="Unit3">'3a-SalesForecastYear1'!$C$11</definedName>
    <definedName name="Unit3_Annual">'3a-SalesForecastYear1'!$O$30</definedName>
    <definedName name="Unit3_Annual_Sales">'3a-SalesForecastYear1'!$O$31</definedName>
    <definedName name="Unit4">'3a-SalesForecastYear1'!$C$12</definedName>
    <definedName name="Unit4_Annual">'3a-SalesForecastYear1'!$O$36</definedName>
    <definedName name="Unit5">'3a-SalesForecastYear1'!$C$13</definedName>
    <definedName name="Unit5_Annual">'3a-SalesForecastYear1'!$O$42</definedName>
    <definedName name="Unit6">'3a-SalesForecastYear1'!$C$14</definedName>
    <definedName name="Unit6_Annual">'3a-SalesForecastYear1'!$O$48</definedName>
    <definedName name="Units_Annual_Total">'3a-SalesForecastYear1'!$O$52</definedName>
    <definedName name="UtilityDeposit">'1-StartingPoint'!$C$24</definedName>
    <definedName name="Values_Entered" localSheetId="16">IF(DiagnosticTools!Loan_Amount*Interest_Rate*Loan_Years*Loan_Start&gt;0,1,0)</definedName>
    <definedName name="Values_Entered">IF(Loan_Amount*Interest_Rate*Loan_Years*Loan_Start&gt;0,1,0)</definedName>
    <definedName name="VehicleLoan">'1-StartingPoint'!$D$40</definedName>
    <definedName name="Vehicles">'1-StartingPoint'!$C$14</definedName>
    <definedName name="Working_Capital">'1-StartingPoint'!$C$29</definedName>
    <definedName name="WorkingCapital">'1-StartingPoint'!$C$28</definedName>
    <definedName name="Y1EndingCashBal">'6a-CashFlowYear1'!$N$33</definedName>
    <definedName name="YearlyPayments_ShortTerm" localSheetId="16">#REF!</definedName>
    <definedName name="YearlyPayments_ShortTerm">#REF!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7" i="28" l="1"/>
  <c r="P7" i="28"/>
  <c r="O7" i="28"/>
  <c r="N7" i="28"/>
  <c r="M7" i="28"/>
  <c r="L7" i="28"/>
  <c r="K7" i="28"/>
  <c r="J7" i="28"/>
  <c r="I7" i="28"/>
  <c r="H7" i="28"/>
  <c r="G7" i="28"/>
  <c r="F7" i="28"/>
  <c r="D48" i="17" l="1"/>
  <c r="E48" i="17" s="1"/>
  <c r="F48" i="17" s="1"/>
  <c r="G48" i="17" s="1"/>
  <c r="H48" i="17" s="1"/>
  <c r="I48" i="17" s="1"/>
  <c r="J48" i="17" s="1"/>
  <c r="K48" i="17" s="1"/>
  <c r="L48" i="17" s="1"/>
  <c r="M48" i="17" s="1"/>
  <c r="N48" i="17" s="1"/>
  <c r="C42" i="21" s="1"/>
  <c r="D42" i="21" s="1"/>
  <c r="E42" i="21" s="1"/>
  <c r="F42" i="21" s="1"/>
  <c r="G42" i="21" s="1"/>
  <c r="H42" i="21" s="1"/>
  <c r="I42" i="21" s="1"/>
  <c r="J42" i="21" s="1"/>
  <c r="K42" i="21" s="1"/>
  <c r="L42" i="21" s="1"/>
  <c r="M42" i="21" s="1"/>
  <c r="N42" i="21" s="1"/>
  <c r="R42" i="21" s="1"/>
  <c r="S42" i="21" s="1"/>
  <c r="T42" i="21" s="1"/>
  <c r="U42" i="21" s="1"/>
  <c r="V42" i="21" s="1"/>
  <c r="W42" i="21" s="1"/>
  <c r="X42" i="21" s="1"/>
  <c r="Y42" i="21" s="1"/>
  <c r="Z42" i="21" s="1"/>
  <c r="AA42" i="21" s="1"/>
  <c r="AB42" i="21" s="1"/>
  <c r="AC42" i="21" s="1"/>
  <c r="D42" i="17"/>
  <c r="E42" i="17" s="1"/>
  <c r="F42" i="17" s="1"/>
  <c r="G42" i="17" s="1"/>
  <c r="H42" i="17" s="1"/>
  <c r="I42" i="17" s="1"/>
  <c r="J42" i="17" s="1"/>
  <c r="K42" i="17" s="1"/>
  <c r="L42" i="17" s="1"/>
  <c r="M42" i="17" s="1"/>
  <c r="N42" i="17" s="1"/>
  <c r="C36" i="21" s="1"/>
  <c r="D36" i="21" s="1"/>
  <c r="E36" i="21" s="1"/>
  <c r="F36" i="21" s="1"/>
  <c r="G36" i="21" s="1"/>
  <c r="H36" i="21" s="1"/>
  <c r="I36" i="21" s="1"/>
  <c r="J36" i="21" s="1"/>
  <c r="K36" i="21" s="1"/>
  <c r="L36" i="21" s="1"/>
  <c r="M36" i="21" s="1"/>
  <c r="N36" i="21" s="1"/>
  <c r="R36" i="21" s="1"/>
  <c r="S36" i="21" s="1"/>
  <c r="T36" i="21" s="1"/>
  <c r="U36" i="21" s="1"/>
  <c r="V36" i="21" s="1"/>
  <c r="W36" i="21" s="1"/>
  <c r="X36" i="21" s="1"/>
  <c r="Y36" i="21" s="1"/>
  <c r="Z36" i="21" s="1"/>
  <c r="AA36" i="21" s="1"/>
  <c r="AB36" i="21" s="1"/>
  <c r="AC36" i="21" s="1"/>
  <c r="D36" i="17"/>
  <c r="E36" i="17" s="1"/>
  <c r="F36" i="17" s="1"/>
  <c r="G36" i="17" s="1"/>
  <c r="H36" i="17" s="1"/>
  <c r="I36" i="17" s="1"/>
  <c r="J36" i="17" s="1"/>
  <c r="K36" i="17" s="1"/>
  <c r="L36" i="17" s="1"/>
  <c r="M36" i="17" s="1"/>
  <c r="N36" i="17" s="1"/>
  <c r="C30" i="21" s="1"/>
  <c r="D30" i="21" s="1"/>
  <c r="E30" i="21" s="1"/>
  <c r="F30" i="21" s="1"/>
  <c r="G30" i="21" s="1"/>
  <c r="H30" i="21" s="1"/>
  <c r="I30" i="21" s="1"/>
  <c r="J30" i="21" s="1"/>
  <c r="K30" i="21" s="1"/>
  <c r="L30" i="21" s="1"/>
  <c r="M30" i="21" s="1"/>
  <c r="N30" i="21" s="1"/>
  <c r="R30" i="21" s="1"/>
  <c r="S30" i="21" s="1"/>
  <c r="T30" i="21" s="1"/>
  <c r="U30" i="21" s="1"/>
  <c r="V30" i="21" s="1"/>
  <c r="W30" i="21" s="1"/>
  <c r="X30" i="21" s="1"/>
  <c r="Y30" i="21" s="1"/>
  <c r="Z30" i="21" s="1"/>
  <c r="AA30" i="21" s="1"/>
  <c r="AB30" i="21" s="1"/>
  <c r="AC30" i="21" s="1"/>
  <c r="D24" i="17"/>
  <c r="E24" i="17" s="1"/>
  <c r="F24" i="17" s="1"/>
  <c r="G24" i="17" s="1"/>
  <c r="H24" i="17" s="1"/>
  <c r="I24" i="17" s="1"/>
  <c r="J24" i="17" s="1"/>
  <c r="K24" i="17" s="1"/>
  <c r="L24" i="17" s="1"/>
  <c r="M24" i="17" s="1"/>
  <c r="N24" i="17" s="1"/>
  <c r="C18" i="21" s="1"/>
  <c r="D18" i="21" s="1"/>
  <c r="E18" i="21" s="1"/>
  <c r="F18" i="21" s="1"/>
  <c r="G18" i="21" s="1"/>
  <c r="H18" i="21" s="1"/>
  <c r="I18" i="21" s="1"/>
  <c r="J18" i="21" s="1"/>
  <c r="K18" i="21" s="1"/>
  <c r="L18" i="21" s="1"/>
  <c r="M18" i="21" s="1"/>
  <c r="N18" i="21" s="1"/>
  <c r="R18" i="21" s="1"/>
  <c r="S18" i="21" s="1"/>
  <c r="T18" i="21" s="1"/>
  <c r="U18" i="21" s="1"/>
  <c r="V18" i="21" s="1"/>
  <c r="W18" i="21" s="1"/>
  <c r="X18" i="21" s="1"/>
  <c r="Y18" i="21" s="1"/>
  <c r="Z18" i="21" s="1"/>
  <c r="AA18" i="21" s="1"/>
  <c r="AB18" i="21" s="1"/>
  <c r="AC18" i="21" s="1"/>
  <c r="D30" i="17"/>
  <c r="E30" i="17" s="1"/>
  <c r="F30" i="17" s="1"/>
  <c r="G30" i="17" s="1"/>
  <c r="H30" i="17" s="1"/>
  <c r="I30" i="17" s="1"/>
  <c r="J30" i="17" s="1"/>
  <c r="K30" i="17" s="1"/>
  <c r="L30" i="17" s="1"/>
  <c r="M30" i="17" s="1"/>
  <c r="N30" i="17" s="1"/>
  <c r="C24" i="21" s="1"/>
  <c r="D24" i="21" s="1"/>
  <c r="E24" i="21" s="1"/>
  <c r="F24" i="21" s="1"/>
  <c r="G24" i="21" s="1"/>
  <c r="H24" i="21" s="1"/>
  <c r="I24" i="21" s="1"/>
  <c r="J24" i="21" s="1"/>
  <c r="K24" i="21" s="1"/>
  <c r="L24" i="21" s="1"/>
  <c r="M24" i="21" s="1"/>
  <c r="N24" i="21" s="1"/>
  <c r="R24" i="21" s="1"/>
  <c r="S24" i="21" s="1"/>
  <c r="T24" i="21" s="1"/>
  <c r="U24" i="21" s="1"/>
  <c r="V24" i="21" s="1"/>
  <c r="W24" i="21" s="1"/>
  <c r="X24" i="21" s="1"/>
  <c r="Y24" i="21" s="1"/>
  <c r="Z24" i="21" s="1"/>
  <c r="AA24" i="21" s="1"/>
  <c r="AB24" i="21" s="1"/>
  <c r="AC24" i="21" s="1"/>
  <c r="D18" i="17"/>
  <c r="E18" i="17" s="1"/>
  <c r="F18" i="17" s="1"/>
  <c r="G18" i="17" s="1"/>
  <c r="H18" i="17" s="1"/>
  <c r="I18" i="17" s="1"/>
  <c r="J18" i="17" s="1"/>
  <c r="K18" i="17" s="1"/>
  <c r="L18" i="17" s="1"/>
  <c r="M18" i="17" s="1"/>
  <c r="N18" i="17" s="1"/>
  <c r="C12" i="21" s="1"/>
  <c r="D126" i="31"/>
  <c r="E126" i="31"/>
  <c r="F126" i="31"/>
  <c r="G126" i="31"/>
  <c r="H126" i="31"/>
  <c r="I126" i="31"/>
  <c r="J126" i="31"/>
  <c r="K126" i="31"/>
  <c r="L126" i="31"/>
  <c r="M126" i="31"/>
  <c r="N126" i="31"/>
  <c r="C126" i="31"/>
  <c r="C122" i="31"/>
  <c r="D122" i="31"/>
  <c r="E122" i="31"/>
  <c r="F122" i="31"/>
  <c r="G122" i="31"/>
  <c r="H122" i="31"/>
  <c r="I122" i="31"/>
  <c r="J122" i="31"/>
  <c r="K122" i="31"/>
  <c r="L122" i="31"/>
  <c r="M122" i="31"/>
  <c r="N122" i="31"/>
  <c r="D12" i="21" l="1"/>
  <c r="AB27" i="38"/>
  <c r="B27" i="6"/>
  <c r="B28" i="6"/>
  <c r="B29" i="6"/>
  <c r="B30" i="6"/>
  <c r="B31" i="6"/>
  <c r="B32" i="6"/>
  <c r="B33" i="6"/>
  <c r="B34" i="6"/>
  <c r="B35" i="6"/>
  <c r="B36" i="6"/>
  <c r="B37" i="6"/>
  <c r="B38" i="6"/>
  <c r="B39" i="6"/>
  <c r="B40" i="6"/>
  <c r="B26" i="6"/>
  <c r="B28" i="39"/>
  <c r="B29" i="39"/>
  <c r="B30" i="39"/>
  <c r="B31" i="39"/>
  <c r="B32" i="39"/>
  <c r="B33" i="39"/>
  <c r="B34" i="39"/>
  <c r="B35" i="39"/>
  <c r="B36" i="39"/>
  <c r="B37" i="39"/>
  <c r="B38" i="39"/>
  <c r="B39" i="39"/>
  <c r="B40" i="39"/>
  <c r="B41" i="39"/>
  <c r="B27" i="39"/>
  <c r="B29" i="7"/>
  <c r="B30" i="7"/>
  <c r="B31" i="7"/>
  <c r="B32" i="7"/>
  <c r="B28" i="7"/>
  <c r="B9" i="7"/>
  <c r="B10" i="7"/>
  <c r="B11" i="7"/>
  <c r="B12" i="7"/>
  <c r="B13" i="7"/>
  <c r="B14" i="7"/>
  <c r="B15" i="7"/>
  <c r="B16" i="7"/>
  <c r="B17" i="7"/>
  <c r="B18" i="7"/>
  <c r="B19" i="7"/>
  <c r="B20" i="7"/>
  <c r="B21" i="7"/>
  <c r="B22" i="7"/>
  <c r="B8" i="7"/>
  <c r="B34" i="22"/>
  <c r="B33" i="22"/>
  <c r="B32" i="22"/>
  <c r="B31" i="22"/>
  <c r="B30" i="22"/>
  <c r="B48" i="17"/>
  <c r="B42" i="17"/>
  <c r="B36" i="17"/>
  <c r="B30" i="17"/>
  <c r="B24" i="17"/>
  <c r="B18" i="17"/>
  <c r="C36" i="1"/>
  <c r="C55" i="39"/>
  <c r="D50" i="17"/>
  <c r="E50" i="17"/>
  <c r="F50" i="17"/>
  <c r="G50" i="17"/>
  <c r="H50" i="17"/>
  <c r="H22" i="39" s="1"/>
  <c r="I50" i="17"/>
  <c r="J50" i="17"/>
  <c r="K50" i="17"/>
  <c r="L50" i="17"/>
  <c r="L22" i="39" s="1"/>
  <c r="M50" i="17"/>
  <c r="N50" i="17"/>
  <c r="D49" i="17"/>
  <c r="E49" i="17"/>
  <c r="F49" i="17"/>
  <c r="G49" i="17"/>
  <c r="G14" i="39" s="1"/>
  <c r="H49" i="17"/>
  <c r="I49" i="17"/>
  <c r="I14" i="39" s="1"/>
  <c r="J49" i="17"/>
  <c r="K49" i="17"/>
  <c r="L49" i="17"/>
  <c r="M49" i="17"/>
  <c r="M51" i="17" s="1"/>
  <c r="N49" i="17"/>
  <c r="C50" i="17"/>
  <c r="C49" i="17"/>
  <c r="D44" i="17"/>
  <c r="E44" i="17"/>
  <c r="F44" i="17"/>
  <c r="G44" i="17"/>
  <c r="H44" i="17"/>
  <c r="H21" i="39" s="1"/>
  <c r="I44" i="17"/>
  <c r="J44" i="17"/>
  <c r="J21" i="39" s="1"/>
  <c r="K44" i="17"/>
  <c r="L44" i="17"/>
  <c r="L21" i="39" s="1"/>
  <c r="M44" i="17"/>
  <c r="N44" i="17"/>
  <c r="D43" i="17"/>
  <c r="D13" i="39" s="1"/>
  <c r="E43" i="17"/>
  <c r="F43" i="17"/>
  <c r="G43" i="17"/>
  <c r="H43" i="17"/>
  <c r="I43" i="17"/>
  <c r="J43" i="17"/>
  <c r="K43" i="17"/>
  <c r="L43" i="17"/>
  <c r="L13" i="39" s="1"/>
  <c r="M43" i="17"/>
  <c r="M45" i="17" s="1"/>
  <c r="N43" i="17"/>
  <c r="C44" i="17"/>
  <c r="C43" i="17"/>
  <c r="C13" i="39" s="1"/>
  <c r="D38" i="17"/>
  <c r="D20" i="39" s="1"/>
  <c r="E38" i="17"/>
  <c r="F38" i="17"/>
  <c r="G38" i="17"/>
  <c r="H38" i="17"/>
  <c r="H20" i="39" s="1"/>
  <c r="I38" i="17"/>
  <c r="J38" i="17"/>
  <c r="K38" i="17"/>
  <c r="L38" i="17"/>
  <c r="L20" i="39" s="1"/>
  <c r="M38" i="17"/>
  <c r="N38" i="17"/>
  <c r="D37" i="17"/>
  <c r="E37" i="17"/>
  <c r="E12" i="39" s="1"/>
  <c r="F37" i="17"/>
  <c r="F12" i="39" s="1"/>
  <c r="G37" i="17"/>
  <c r="G12" i="39" s="1"/>
  <c r="H37" i="17"/>
  <c r="H12" i="39" s="1"/>
  <c r="I37" i="17"/>
  <c r="I12" i="39" s="1"/>
  <c r="J37" i="17"/>
  <c r="K37" i="17"/>
  <c r="L37" i="17"/>
  <c r="M37" i="17"/>
  <c r="M12" i="39" s="1"/>
  <c r="N37" i="17"/>
  <c r="C38" i="17"/>
  <c r="C37" i="17"/>
  <c r="D32" i="17"/>
  <c r="D19" i="39" s="1"/>
  <c r="E32" i="17"/>
  <c r="E19" i="39" s="1"/>
  <c r="F32" i="17"/>
  <c r="F19" i="39" s="1"/>
  <c r="G32" i="17"/>
  <c r="G19" i="39" s="1"/>
  <c r="H32" i="17"/>
  <c r="H19" i="39" s="1"/>
  <c r="I32" i="17"/>
  <c r="I19" i="39" s="1"/>
  <c r="J32" i="17"/>
  <c r="J19" i="39" s="1"/>
  <c r="K32" i="17"/>
  <c r="K19" i="39" s="1"/>
  <c r="L32" i="17"/>
  <c r="L19" i="39" s="1"/>
  <c r="M32" i="17"/>
  <c r="M19" i="39" s="1"/>
  <c r="N32" i="17"/>
  <c r="N19" i="39" s="1"/>
  <c r="N31" i="17"/>
  <c r="D31" i="17"/>
  <c r="D11" i="39" s="1"/>
  <c r="E31" i="17"/>
  <c r="F31" i="17"/>
  <c r="F11" i="39" s="1"/>
  <c r="G31" i="17"/>
  <c r="H31" i="17"/>
  <c r="H11" i="39" s="1"/>
  <c r="I31" i="17"/>
  <c r="J31" i="17"/>
  <c r="J11" i="39" s="1"/>
  <c r="K31" i="17"/>
  <c r="L31" i="17"/>
  <c r="L11" i="39" s="1"/>
  <c r="M31" i="17"/>
  <c r="M11" i="39" s="1"/>
  <c r="C32" i="17"/>
  <c r="C19" i="39" s="1"/>
  <c r="C31" i="17"/>
  <c r="D26" i="17"/>
  <c r="D18" i="39" s="1"/>
  <c r="E26" i="17"/>
  <c r="E18" i="39" s="1"/>
  <c r="F26" i="17"/>
  <c r="F18" i="39" s="1"/>
  <c r="G26" i="17"/>
  <c r="H26" i="17"/>
  <c r="H18" i="39" s="1"/>
  <c r="I26" i="17"/>
  <c r="I18" i="39" s="1"/>
  <c r="J26" i="17"/>
  <c r="J18" i="39" s="1"/>
  <c r="K26" i="17"/>
  <c r="L26" i="17"/>
  <c r="L18" i="39" s="1"/>
  <c r="M26" i="17"/>
  <c r="N26" i="17"/>
  <c r="N18" i="39" s="1"/>
  <c r="D25" i="17"/>
  <c r="E25" i="17"/>
  <c r="E10" i="39" s="1"/>
  <c r="F25" i="17"/>
  <c r="F10" i="39" s="1"/>
  <c r="G25" i="17"/>
  <c r="G10" i="39" s="1"/>
  <c r="H25" i="17"/>
  <c r="I25" i="17"/>
  <c r="J25" i="17"/>
  <c r="J10" i="39" s="1"/>
  <c r="K25" i="17"/>
  <c r="K10" i="39" s="1"/>
  <c r="L25" i="17"/>
  <c r="M25" i="17"/>
  <c r="N25" i="17"/>
  <c r="N10" i="39" s="1"/>
  <c r="C26" i="17"/>
  <c r="C18" i="39" s="1"/>
  <c r="C25" i="17"/>
  <c r="D20" i="17"/>
  <c r="D17" i="39" s="1"/>
  <c r="E20" i="17"/>
  <c r="E17" i="39" s="1"/>
  <c r="F20" i="17"/>
  <c r="F17" i="39" s="1"/>
  <c r="G20" i="17"/>
  <c r="H20" i="17"/>
  <c r="H17" i="39" s="1"/>
  <c r="I20" i="17"/>
  <c r="J20" i="17"/>
  <c r="J17" i="39" s="1"/>
  <c r="K20" i="17"/>
  <c r="L20" i="17"/>
  <c r="L17" i="39" s="1"/>
  <c r="M20" i="17"/>
  <c r="N20" i="17"/>
  <c r="N17" i="39" s="1"/>
  <c r="D19" i="17"/>
  <c r="D9" i="39" s="1"/>
  <c r="E19" i="17"/>
  <c r="E9" i="39" s="1"/>
  <c r="F19" i="17"/>
  <c r="F9" i="39" s="1"/>
  <c r="G19" i="17"/>
  <c r="G9" i="39" s="1"/>
  <c r="H19" i="17"/>
  <c r="I19" i="17"/>
  <c r="I9" i="39" s="1"/>
  <c r="J19" i="17"/>
  <c r="J9" i="39" s="1"/>
  <c r="K19" i="17"/>
  <c r="K9" i="39" s="1"/>
  <c r="L19" i="17"/>
  <c r="M19" i="17"/>
  <c r="M9" i="39" s="1"/>
  <c r="N19" i="17"/>
  <c r="C20" i="17"/>
  <c r="C19" i="17"/>
  <c r="B5" i="31"/>
  <c r="B5" i="29"/>
  <c r="B5" i="36"/>
  <c r="B5" i="27"/>
  <c r="B5" i="26"/>
  <c r="C5" i="5"/>
  <c r="B5" i="6"/>
  <c r="B5" i="39"/>
  <c r="B4" i="38"/>
  <c r="B5" i="25"/>
  <c r="B5" i="24"/>
  <c r="B5" i="7"/>
  <c r="B5" i="22"/>
  <c r="B5" i="2"/>
  <c r="C5" i="31"/>
  <c r="C5" i="29"/>
  <c r="C5" i="36"/>
  <c r="C5" i="27"/>
  <c r="C5" i="26"/>
  <c r="D5" i="5"/>
  <c r="C5" i="6"/>
  <c r="C5" i="39"/>
  <c r="C4" i="38"/>
  <c r="C5" i="25"/>
  <c r="C5" i="24"/>
  <c r="C5" i="7"/>
  <c r="C5" i="22"/>
  <c r="C5" i="21"/>
  <c r="C5" i="17"/>
  <c r="C5" i="37"/>
  <c r="C5" i="2"/>
  <c r="B5" i="21"/>
  <c r="B5" i="17"/>
  <c r="B5" i="37"/>
  <c r="C5" i="28"/>
  <c r="B5" i="28"/>
  <c r="B47" i="17"/>
  <c r="B22" i="39" s="1"/>
  <c r="B41" i="17"/>
  <c r="B21" i="39" s="1"/>
  <c r="B35" i="17"/>
  <c r="B29" i="17"/>
  <c r="B18" i="6" s="1"/>
  <c r="B23" i="17"/>
  <c r="A17" i="21" s="1"/>
  <c r="B17" i="17"/>
  <c r="F43" i="21"/>
  <c r="G44" i="21"/>
  <c r="C43" i="21"/>
  <c r="E38" i="21"/>
  <c r="F37" i="21"/>
  <c r="I38" i="21"/>
  <c r="M38" i="21"/>
  <c r="N37" i="21"/>
  <c r="D31" i="21"/>
  <c r="G32" i="21"/>
  <c r="K32" i="21"/>
  <c r="L31" i="21"/>
  <c r="C31" i="21"/>
  <c r="E26" i="21"/>
  <c r="F25" i="21"/>
  <c r="M26" i="21"/>
  <c r="N25" i="21"/>
  <c r="D19" i="21"/>
  <c r="G20" i="21"/>
  <c r="H19" i="21"/>
  <c r="L19" i="21"/>
  <c r="C19" i="21"/>
  <c r="C13" i="21"/>
  <c r="A42" i="21"/>
  <c r="A36" i="21"/>
  <c r="A30" i="21"/>
  <c r="A24" i="21"/>
  <c r="A18" i="21"/>
  <c r="A12" i="21"/>
  <c r="F10" i="17"/>
  <c r="F11" i="17"/>
  <c r="F12" i="17"/>
  <c r="F13" i="17"/>
  <c r="F14" i="17"/>
  <c r="F9" i="17"/>
  <c r="C20" i="24"/>
  <c r="B13" i="39"/>
  <c r="B20" i="6"/>
  <c r="B13" i="6"/>
  <c r="B21" i="6"/>
  <c r="B10" i="39"/>
  <c r="B17" i="6"/>
  <c r="O24" i="22"/>
  <c r="C22" i="7" s="1"/>
  <c r="E22" i="7" s="1"/>
  <c r="O23" i="22"/>
  <c r="O22" i="22"/>
  <c r="C20" i="7" s="1"/>
  <c r="O16" i="22"/>
  <c r="B12" i="28"/>
  <c r="C134" i="31"/>
  <c r="C135" i="31" s="1"/>
  <c r="O17" i="25"/>
  <c r="B16" i="38" s="1"/>
  <c r="AB16" i="38"/>
  <c r="O16" i="38"/>
  <c r="F39" i="5"/>
  <c r="E39" i="5"/>
  <c r="D39" i="5"/>
  <c r="O27" i="38"/>
  <c r="O26" i="38"/>
  <c r="O28" i="25"/>
  <c r="B27" i="38" s="1"/>
  <c r="O27" i="25"/>
  <c r="B26" i="38" s="1"/>
  <c r="N41" i="39"/>
  <c r="M41" i="39"/>
  <c r="L41" i="39"/>
  <c r="K41" i="39"/>
  <c r="J41" i="39"/>
  <c r="I41" i="39"/>
  <c r="H41" i="39"/>
  <c r="G41" i="39"/>
  <c r="F41" i="39"/>
  <c r="E41" i="39"/>
  <c r="D41" i="39"/>
  <c r="C41" i="39"/>
  <c r="E20" i="24"/>
  <c r="D20" i="24"/>
  <c r="E12" i="24"/>
  <c r="E13" i="24" s="1"/>
  <c r="D12" i="24"/>
  <c r="D13" i="24" s="1"/>
  <c r="C12" i="24"/>
  <c r="C13" i="24" s="1"/>
  <c r="D11" i="5"/>
  <c r="E11" i="5" s="1"/>
  <c r="F11" i="5" s="1"/>
  <c r="E17" i="5"/>
  <c r="F17" i="5"/>
  <c r="D17" i="5"/>
  <c r="C35" i="22"/>
  <c r="C8" i="25"/>
  <c r="R35" i="24"/>
  <c r="X15" i="38" s="1"/>
  <c r="Q35" i="24"/>
  <c r="O35" i="24"/>
  <c r="N16" i="25" s="1"/>
  <c r="N35" i="24"/>
  <c r="M16" i="25" s="1"/>
  <c r="M35" i="24"/>
  <c r="L35" i="24"/>
  <c r="K16" i="25" s="1"/>
  <c r="K35" i="24"/>
  <c r="J16" i="25" s="1"/>
  <c r="J35" i="24"/>
  <c r="I16" i="25" s="1"/>
  <c r="I35" i="24"/>
  <c r="H35" i="24"/>
  <c r="G16" i="25" s="1"/>
  <c r="G35" i="24"/>
  <c r="F16" i="25" s="1"/>
  <c r="F35" i="24"/>
  <c r="E16" i="25"/>
  <c r="E35" i="24"/>
  <c r="D16" i="25" s="1"/>
  <c r="C117" i="31"/>
  <c r="C119" i="31" s="1"/>
  <c r="D118" i="31"/>
  <c r="E118" i="31"/>
  <c r="F118" i="31"/>
  <c r="G118" i="31"/>
  <c r="H118" i="31"/>
  <c r="I118" i="31"/>
  <c r="J118" i="31"/>
  <c r="K118" i="31"/>
  <c r="L118" i="31"/>
  <c r="M118" i="31"/>
  <c r="N118" i="31"/>
  <c r="C11" i="39"/>
  <c r="C14" i="7"/>
  <c r="C21" i="7"/>
  <c r="C10" i="31"/>
  <c r="C11" i="31"/>
  <c r="C9" i="31"/>
  <c r="K23" i="31" s="1"/>
  <c r="C30" i="31"/>
  <c r="G39" i="31" s="1"/>
  <c r="C31" i="31"/>
  <c r="C29" i="31"/>
  <c r="C50" i="31"/>
  <c r="C51" i="31"/>
  <c r="C49" i="31"/>
  <c r="G64" i="31" s="1"/>
  <c r="C70" i="31"/>
  <c r="C71" i="31"/>
  <c r="C69" i="31"/>
  <c r="I84" i="31" s="1"/>
  <c r="C90" i="31"/>
  <c r="C91" i="31"/>
  <c r="C89" i="31"/>
  <c r="D42" i="2"/>
  <c r="C8" i="36" s="1"/>
  <c r="D8" i="36" s="1"/>
  <c r="AB26" i="38"/>
  <c r="AB24" i="38"/>
  <c r="H16" i="25"/>
  <c r="L16" i="25"/>
  <c r="C109" i="31"/>
  <c r="C110" i="31"/>
  <c r="C111" i="31"/>
  <c r="C112" i="31"/>
  <c r="C113" i="31"/>
  <c r="C114" i="31"/>
  <c r="B109" i="31"/>
  <c r="B110" i="31"/>
  <c r="B111" i="31"/>
  <c r="B112" i="31"/>
  <c r="B113" i="31"/>
  <c r="B114" i="31"/>
  <c r="D34" i="24"/>
  <c r="P34" i="24" s="1"/>
  <c r="D33" i="24"/>
  <c r="P33" i="24" s="1"/>
  <c r="F22" i="5" s="1"/>
  <c r="D32" i="24"/>
  <c r="P32" i="24" s="1"/>
  <c r="F21" i="5" s="1"/>
  <c r="D31" i="24"/>
  <c r="P31" i="24" s="1"/>
  <c r="D30" i="24"/>
  <c r="P30" i="24" s="1"/>
  <c r="D29" i="24"/>
  <c r="P29" i="24" s="1"/>
  <c r="D18" i="5" s="1"/>
  <c r="D33" i="39"/>
  <c r="E33" i="39"/>
  <c r="F33" i="39"/>
  <c r="G33" i="39"/>
  <c r="H33" i="39"/>
  <c r="I33" i="39"/>
  <c r="J33" i="39"/>
  <c r="K33" i="39"/>
  <c r="L33" i="39"/>
  <c r="M33" i="39"/>
  <c r="N33" i="39"/>
  <c r="C33" i="39"/>
  <c r="C52" i="2"/>
  <c r="C28" i="39"/>
  <c r="D28" i="39"/>
  <c r="E28" i="39"/>
  <c r="F28" i="39"/>
  <c r="G28" i="39"/>
  <c r="H28" i="39"/>
  <c r="I28" i="39"/>
  <c r="J28" i="39"/>
  <c r="K28" i="39"/>
  <c r="L28" i="39"/>
  <c r="M28" i="39"/>
  <c r="N28" i="39"/>
  <c r="C29" i="39"/>
  <c r="D29" i="39"/>
  <c r="E29" i="39"/>
  <c r="F29" i="39"/>
  <c r="G29" i="39"/>
  <c r="H29" i="39"/>
  <c r="I29" i="39"/>
  <c r="J29" i="39"/>
  <c r="K29" i="39"/>
  <c r="L29" i="39"/>
  <c r="M29" i="39"/>
  <c r="N29" i="39"/>
  <c r="C30" i="39"/>
  <c r="D30" i="39"/>
  <c r="E30" i="39"/>
  <c r="F30" i="39"/>
  <c r="G30" i="39"/>
  <c r="H30" i="39"/>
  <c r="I30" i="39"/>
  <c r="J30" i="39"/>
  <c r="K30" i="39"/>
  <c r="L30" i="39"/>
  <c r="M30" i="39"/>
  <c r="N30" i="39"/>
  <c r="C31" i="39"/>
  <c r="D31" i="39"/>
  <c r="E31" i="39"/>
  <c r="F31" i="39"/>
  <c r="G31" i="39"/>
  <c r="H31" i="39"/>
  <c r="I31" i="39"/>
  <c r="J31" i="39"/>
  <c r="K31" i="39"/>
  <c r="L31" i="39"/>
  <c r="M31" i="39"/>
  <c r="N31" i="39"/>
  <c r="C32" i="39"/>
  <c r="D32" i="39"/>
  <c r="E32" i="39"/>
  <c r="F32" i="39"/>
  <c r="G32" i="39"/>
  <c r="H32" i="39"/>
  <c r="I32" i="39"/>
  <c r="J32" i="39"/>
  <c r="K32" i="39"/>
  <c r="L32" i="39"/>
  <c r="M32" i="39"/>
  <c r="N32" i="39"/>
  <c r="C34" i="39"/>
  <c r="D34" i="39"/>
  <c r="E34" i="39"/>
  <c r="F34" i="39"/>
  <c r="G34" i="39"/>
  <c r="H34" i="39"/>
  <c r="I34" i="39"/>
  <c r="J34" i="39"/>
  <c r="K34" i="39"/>
  <c r="L34" i="39"/>
  <c r="M34" i="39"/>
  <c r="N34" i="39"/>
  <c r="C35" i="39"/>
  <c r="D35" i="39"/>
  <c r="E35" i="39"/>
  <c r="F35" i="39"/>
  <c r="G35" i="39"/>
  <c r="H35" i="39"/>
  <c r="I35" i="39"/>
  <c r="J35" i="39"/>
  <c r="K35" i="39"/>
  <c r="L35" i="39"/>
  <c r="M35" i="39"/>
  <c r="N35" i="39"/>
  <c r="C36" i="39"/>
  <c r="D36" i="39"/>
  <c r="E36" i="39"/>
  <c r="F36" i="39"/>
  <c r="G36" i="39"/>
  <c r="H36" i="39"/>
  <c r="I36" i="39"/>
  <c r="J36" i="39"/>
  <c r="K36" i="39"/>
  <c r="L36" i="39"/>
  <c r="M36" i="39"/>
  <c r="N36" i="39"/>
  <c r="C37" i="39"/>
  <c r="D37" i="39"/>
  <c r="E37" i="39"/>
  <c r="F37" i="39"/>
  <c r="G37" i="39"/>
  <c r="H37" i="39"/>
  <c r="I37" i="39"/>
  <c r="J37" i="39"/>
  <c r="K37" i="39"/>
  <c r="L37" i="39"/>
  <c r="M37" i="39"/>
  <c r="N37" i="39"/>
  <c r="C38" i="39"/>
  <c r="D38" i="39"/>
  <c r="E38" i="39"/>
  <c r="F38" i="39"/>
  <c r="G38" i="39"/>
  <c r="H38" i="39"/>
  <c r="I38" i="39"/>
  <c r="J38" i="39"/>
  <c r="K38" i="39"/>
  <c r="L38" i="39"/>
  <c r="M38" i="39"/>
  <c r="N38" i="39"/>
  <c r="C39" i="39"/>
  <c r="D39" i="39"/>
  <c r="E39" i="39"/>
  <c r="F39" i="39"/>
  <c r="G39" i="39"/>
  <c r="H39" i="39"/>
  <c r="I39" i="39"/>
  <c r="J39" i="39"/>
  <c r="K39" i="39"/>
  <c r="L39" i="39"/>
  <c r="M39" i="39"/>
  <c r="N39" i="39"/>
  <c r="C40" i="39"/>
  <c r="D40" i="39"/>
  <c r="E40" i="39"/>
  <c r="F40" i="39"/>
  <c r="G40" i="39"/>
  <c r="H40" i="39"/>
  <c r="I40" i="39"/>
  <c r="J40" i="39"/>
  <c r="K40" i="39"/>
  <c r="L40" i="39"/>
  <c r="M40" i="39"/>
  <c r="N40" i="39"/>
  <c r="D27" i="39"/>
  <c r="E27" i="39"/>
  <c r="F27" i="39"/>
  <c r="G27" i="39"/>
  <c r="H27" i="39"/>
  <c r="I27" i="39"/>
  <c r="J27" i="39"/>
  <c r="K27" i="39"/>
  <c r="L27" i="39"/>
  <c r="M27" i="39"/>
  <c r="N27" i="39"/>
  <c r="C27" i="39"/>
  <c r="O7" i="39"/>
  <c r="O24" i="38"/>
  <c r="E22" i="39"/>
  <c r="F22" i="39"/>
  <c r="I22" i="39"/>
  <c r="J22" i="39"/>
  <c r="M22" i="39"/>
  <c r="N22" i="39"/>
  <c r="F14" i="39"/>
  <c r="K14" i="39"/>
  <c r="M14" i="39"/>
  <c r="N14" i="39"/>
  <c r="C22" i="39"/>
  <c r="E21" i="39"/>
  <c r="F21" i="39"/>
  <c r="I21" i="39"/>
  <c r="M21" i="39"/>
  <c r="N21" i="39"/>
  <c r="C21" i="39"/>
  <c r="F45" i="17"/>
  <c r="G13" i="39"/>
  <c r="M13" i="39"/>
  <c r="N13" i="39"/>
  <c r="E20" i="39"/>
  <c r="F20" i="39"/>
  <c r="I20" i="39"/>
  <c r="J20" i="39"/>
  <c r="M20" i="39"/>
  <c r="N20" i="39"/>
  <c r="K12" i="39"/>
  <c r="N39" i="17"/>
  <c r="M18" i="39"/>
  <c r="G8" i="37"/>
  <c r="E8" i="37"/>
  <c r="J12" i="39"/>
  <c r="N51" i="17"/>
  <c r="F51" i="17"/>
  <c r="C15" i="36"/>
  <c r="D15" i="36" s="1"/>
  <c r="C14" i="36"/>
  <c r="D14" i="36" s="1"/>
  <c r="C13" i="36"/>
  <c r="D13" i="36" s="1"/>
  <c r="C12" i="36"/>
  <c r="D12" i="36" s="1"/>
  <c r="O18" i="17"/>
  <c r="B12" i="21" s="1"/>
  <c r="O24" i="17"/>
  <c r="B18" i="21" s="1"/>
  <c r="O30" i="17"/>
  <c r="B24" i="21" s="1"/>
  <c r="O36" i="17"/>
  <c r="B30" i="21" s="1"/>
  <c r="O42" i="17"/>
  <c r="B36" i="21" s="1"/>
  <c r="O48" i="17"/>
  <c r="B42" i="21" s="1"/>
  <c r="O10" i="22"/>
  <c r="C8" i="7" s="1"/>
  <c r="E8" i="7" s="1"/>
  <c r="O11" i="22"/>
  <c r="C9" i="7" s="1"/>
  <c r="O12" i="22"/>
  <c r="C10" i="7" s="1"/>
  <c r="O13" i="22"/>
  <c r="C11" i="7"/>
  <c r="E11" i="7" s="1"/>
  <c r="O14" i="22"/>
  <c r="C12" i="7" s="1"/>
  <c r="O15" i="22"/>
  <c r="C13" i="7" s="1"/>
  <c r="O17" i="22"/>
  <c r="C15" i="7" s="1"/>
  <c r="E15" i="7" s="1"/>
  <c r="O18" i="22"/>
  <c r="C16" i="7"/>
  <c r="C34" i="6" s="1"/>
  <c r="O19" i="22"/>
  <c r="C17" i="7" s="1"/>
  <c r="O20" i="22"/>
  <c r="C18" i="7" s="1"/>
  <c r="O21" i="22"/>
  <c r="C19" i="7" s="1"/>
  <c r="C37" i="6" s="1"/>
  <c r="F7" i="5"/>
  <c r="E7" i="5"/>
  <c r="D7" i="5"/>
  <c r="G7" i="6"/>
  <c r="E7" i="6"/>
  <c r="C7" i="6"/>
  <c r="G7" i="7"/>
  <c r="E7" i="7"/>
  <c r="C7" i="7"/>
  <c r="R14" i="28"/>
  <c r="C24" i="29"/>
  <c r="C26" i="29"/>
  <c r="C16" i="29"/>
  <c r="C12" i="28"/>
  <c r="E8" i="28"/>
  <c r="E9" i="28"/>
  <c r="E10" i="28"/>
  <c r="F10" i="28" s="1"/>
  <c r="G10" i="28" s="1"/>
  <c r="H10" i="28" s="1"/>
  <c r="I10" i="28" s="1"/>
  <c r="E11" i="28"/>
  <c r="F11" i="28" s="1"/>
  <c r="G11" i="28" s="1"/>
  <c r="H11" i="28" s="1"/>
  <c r="I11" i="28" s="1"/>
  <c r="J11" i="28" s="1"/>
  <c r="K11" i="28" s="1"/>
  <c r="L11" i="28" s="1"/>
  <c r="M11" i="28" s="1"/>
  <c r="N11" i="28" s="1"/>
  <c r="O11" i="28" s="1"/>
  <c r="P11" i="28" s="1"/>
  <c r="Q11" i="28" s="1"/>
  <c r="D12" i="28"/>
  <c r="C14" i="29"/>
  <c r="C16" i="2"/>
  <c r="C30" i="2"/>
  <c r="C132" i="31" s="1"/>
  <c r="C133" i="31" s="1"/>
  <c r="D12" i="5" s="1"/>
  <c r="E12" i="5" s="1"/>
  <c r="F12" i="5" s="1"/>
  <c r="G38" i="2"/>
  <c r="G39" i="2"/>
  <c r="G40" i="2"/>
  <c r="G41" i="2"/>
  <c r="G37" i="2"/>
  <c r="C52" i="17"/>
  <c r="O25" i="25"/>
  <c r="C23" i="28"/>
  <c r="D52" i="17"/>
  <c r="E52" i="17"/>
  <c r="F52" i="17"/>
  <c r="G52" i="17"/>
  <c r="H52" i="17"/>
  <c r="I52" i="17"/>
  <c r="J52" i="17"/>
  <c r="K52" i="17"/>
  <c r="L52" i="17"/>
  <c r="M52" i="17"/>
  <c r="N52" i="17"/>
  <c r="C25" i="22"/>
  <c r="C20" i="25" s="1"/>
  <c r="D25" i="22"/>
  <c r="E25" i="22"/>
  <c r="E20" i="25" s="1"/>
  <c r="F25" i="22"/>
  <c r="F20" i="25" s="1"/>
  <c r="G25" i="22"/>
  <c r="G20" i="25" s="1"/>
  <c r="H25" i="22"/>
  <c r="H20" i="25" s="1"/>
  <c r="I25" i="22"/>
  <c r="I20" i="25" s="1"/>
  <c r="J25" i="22"/>
  <c r="J20" i="25" s="1"/>
  <c r="K25" i="22"/>
  <c r="K20" i="25" s="1"/>
  <c r="L25" i="22"/>
  <c r="L20" i="25" s="1"/>
  <c r="M25" i="22"/>
  <c r="M20" i="25" s="1"/>
  <c r="N25" i="22"/>
  <c r="N20" i="25" s="1"/>
  <c r="E14" i="7"/>
  <c r="E32" i="6" s="1"/>
  <c r="C32" i="6"/>
  <c r="I51" i="17"/>
  <c r="D43" i="31"/>
  <c r="F39" i="31"/>
  <c r="D44" i="31"/>
  <c r="N103" i="31"/>
  <c r="L103" i="31"/>
  <c r="K103" i="31"/>
  <c r="J103" i="31"/>
  <c r="H103" i="31"/>
  <c r="G103" i="31"/>
  <c r="F103" i="31"/>
  <c r="D103" i="31"/>
  <c r="C103" i="31"/>
  <c r="N99" i="31"/>
  <c r="L99" i="31"/>
  <c r="K99" i="31"/>
  <c r="J99" i="31"/>
  <c r="H99" i="31"/>
  <c r="G99" i="31"/>
  <c r="F99" i="31"/>
  <c r="D99" i="31"/>
  <c r="C99" i="31"/>
  <c r="N104" i="31"/>
  <c r="L104" i="31"/>
  <c r="K104" i="31"/>
  <c r="J104" i="31"/>
  <c r="H104" i="31"/>
  <c r="G104" i="31"/>
  <c r="F104" i="31"/>
  <c r="D104" i="31"/>
  <c r="C104" i="31"/>
  <c r="N100" i="31"/>
  <c r="L100" i="31"/>
  <c r="K100" i="31"/>
  <c r="J100" i="31"/>
  <c r="H100" i="31"/>
  <c r="G100" i="31"/>
  <c r="F100" i="31"/>
  <c r="D100" i="31"/>
  <c r="C100" i="31"/>
  <c r="K35" i="31"/>
  <c r="K51" i="39" s="1"/>
  <c r="K13" i="39"/>
  <c r="I13" i="39"/>
  <c r="H64" i="31"/>
  <c r="D59" i="31"/>
  <c r="K59" i="31"/>
  <c r="J39" i="17"/>
  <c r="L15" i="38"/>
  <c r="B24" i="38"/>
  <c r="D41" i="5"/>
  <c r="E41" i="5" s="1"/>
  <c r="F41" i="5" s="1"/>
  <c r="K15" i="38"/>
  <c r="F23" i="5"/>
  <c r="I35" i="31"/>
  <c r="J95" i="31"/>
  <c r="J54" i="39" s="1"/>
  <c r="I95" i="31"/>
  <c r="H95" i="31"/>
  <c r="F95" i="31"/>
  <c r="F54" i="39" s="1"/>
  <c r="E95" i="31"/>
  <c r="D95" i="31"/>
  <c r="D54" i="39" s="1"/>
  <c r="P15" i="38"/>
  <c r="E11" i="39"/>
  <c r="N12" i="39"/>
  <c r="M39" i="17"/>
  <c r="I39" i="17"/>
  <c r="E39" i="17"/>
  <c r="C20" i="39"/>
  <c r="O30" i="39"/>
  <c r="F15" i="38"/>
  <c r="I15" i="38"/>
  <c r="D96" i="31"/>
  <c r="E96" i="31"/>
  <c r="F96" i="31"/>
  <c r="H96" i="31"/>
  <c r="I96" i="31"/>
  <c r="J96" i="31"/>
  <c r="L95" i="31"/>
  <c r="M95" i="31"/>
  <c r="M54" i="39" s="1"/>
  <c r="N95" i="31"/>
  <c r="L96" i="31"/>
  <c r="M96" i="31"/>
  <c r="N96" i="31"/>
  <c r="C92" i="31"/>
  <c r="N35" i="31"/>
  <c r="H13" i="39"/>
  <c r="E17" i="7"/>
  <c r="G17" i="7" s="1"/>
  <c r="G35" i="6" s="1"/>
  <c r="C35" i="6"/>
  <c r="C29" i="6"/>
  <c r="F13" i="39"/>
  <c r="E16" i="7"/>
  <c r="E34" i="6" s="1"/>
  <c r="I17" i="39"/>
  <c r="N45" i="17"/>
  <c r="J51" i="17"/>
  <c r="J14" i="39"/>
  <c r="C33" i="6"/>
  <c r="E12" i="7"/>
  <c r="E30" i="6" s="1"/>
  <c r="C30" i="6"/>
  <c r="J13" i="39"/>
  <c r="D21" i="39"/>
  <c r="O40" i="39"/>
  <c r="O35" i="39"/>
  <c r="O34" i="39"/>
  <c r="O31" i="39"/>
  <c r="O28" i="39"/>
  <c r="O33" i="39"/>
  <c r="M56" i="31"/>
  <c r="G56" i="31"/>
  <c r="M55" i="31"/>
  <c r="M32" i="22" s="1"/>
  <c r="G14" i="7"/>
  <c r="G32" i="6" s="1"/>
  <c r="J34" i="22"/>
  <c r="L34" i="22"/>
  <c r="L54" i="39"/>
  <c r="G15" i="7"/>
  <c r="E33" i="6"/>
  <c r="G12" i="7"/>
  <c r="G30" i="6" s="1"/>
  <c r="G11" i="7"/>
  <c r="G29" i="6" s="1"/>
  <c r="E29" i="6"/>
  <c r="C27" i="27"/>
  <c r="D27" i="27"/>
  <c r="E27" i="27"/>
  <c r="M27" i="17" l="1"/>
  <c r="F33" i="17"/>
  <c r="I33" i="17"/>
  <c r="M54" i="17"/>
  <c r="M10" i="39"/>
  <c r="I27" i="17"/>
  <c r="I11" i="39"/>
  <c r="E33" i="17"/>
  <c r="I54" i="17"/>
  <c r="D54" i="17"/>
  <c r="N21" i="17"/>
  <c r="M44" i="39"/>
  <c r="C44" i="39"/>
  <c r="F44" i="39"/>
  <c r="H44" i="39"/>
  <c r="G44" i="39"/>
  <c r="E40" i="6"/>
  <c r="G22" i="7"/>
  <c r="G40" i="6" s="1"/>
  <c r="C40" i="6"/>
  <c r="O39" i="39"/>
  <c r="O38" i="39"/>
  <c r="J44" i="39"/>
  <c r="I44" i="39"/>
  <c r="E44" i="39"/>
  <c r="E19" i="7"/>
  <c r="E37" i="6" s="1"/>
  <c r="N44" i="39"/>
  <c r="O37" i="39"/>
  <c r="C26" i="6"/>
  <c r="G8" i="7"/>
  <c r="G26" i="6" s="1"/>
  <c r="E26" i="6"/>
  <c r="A41" i="21"/>
  <c r="B14" i="39"/>
  <c r="A35" i="21"/>
  <c r="B12" i="6"/>
  <c r="N27" i="17"/>
  <c r="C53" i="17"/>
  <c r="D11" i="25" s="1"/>
  <c r="N9" i="39"/>
  <c r="L33" i="17"/>
  <c r="N33" i="17"/>
  <c r="H33" i="17"/>
  <c r="D33" i="17"/>
  <c r="M53" i="17"/>
  <c r="M56" i="39" s="1"/>
  <c r="M36" i="22" s="1"/>
  <c r="M33" i="17"/>
  <c r="J33" i="17"/>
  <c r="B10" i="6"/>
  <c r="L54" i="17"/>
  <c r="H54" i="17"/>
  <c r="L23" i="39"/>
  <c r="H23" i="39"/>
  <c r="C54" i="17"/>
  <c r="C18" i="25" s="1"/>
  <c r="E54" i="17"/>
  <c r="J53" i="17"/>
  <c r="J10" i="25" s="1"/>
  <c r="J27" i="17"/>
  <c r="I10" i="39"/>
  <c r="B18" i="39"/>
  <c r="B9" i="6"/>
  <c r="E21" i="17"/>
  <c r="M17" i="39"/>
  <c r="M23" i="39" s="1"/>
  <c r="M21" i="17"/>
  <c r="D21" i="17"/>
  <c r="I21" i="17"/>
  <c r="G24" i="31"/>
  <c r="M23" i="31"/>
  <c r="J16" i="31"/>
  <c r="H23" i="31"/>
  <c r="G20" i="31"/>
  <c r="C24" i="31"/>
  <c r="E16" i="31"/>
  <c r="C12" i="31"/>
  <c r="L20" i="31"/>
  <c r="I24" i="31"/>
  <c r="C20" i="31"/>
  <c r="N16" i="31"/>
  <c r="D19" i="31"/>
  <c r="N23" i="31"/>
  <c r="K20" i="31"/>
  <c r="J20" i="31"/>
  <c r="M15" i="31"/>
  <c r="I16" i="31"/>
  <c r="D23" i="31"/>
  <c r="H16" i="31"/>
  <c r="C15" i="31"/>
  <c r="C50" i="39" s="1"/>
  <c r="F19" i="31"/>
  <c r="D24" i="31"/>
  <c r="C23" i="31"/>
  <c r="E19" i="31"/>
  <c r="G19" i="31"/>
  <c r="F16" i="31"/>
  <c r="K19" i="31"/>
  <c r="F23" i="31"/>
  <c r="L19" i="31"/>
  <c r="E23" i="31"/>
  <c r="K15" i="31"/>
  <c r="K50" i="39" s="1"/>
  <c r="M16" i="31"/>
  <c r="D15" i="31"/>
  <c r="J24" i="31"/>
  <c r="C16" i="31"/>
  <c r="C17" i="31" s="1"/>
  <c r="H15" i="31"/>
  <c r="H50" i="39" s="1"/>
  <c r="N19" i="31"/>
  <c r="L24" i="31"/>
  <c r="G23" i="31"/>
  <c r="E15" i="31"/>
  <c r="E30" i="22" s="1"/>
  <c r="L15" i="31"/>
  <c r="L30" i="22" s="1"/>
  <c r="H20" i="31"/>
  <c r="C19" i="31"/>
  <c r="G16" i="31"/>
  <c r="D20" i="31"/>
  <c r="H24" i="31"/>
  <c r="I20" i="31"/>
  <c r="K24" i="31"/>
  <c r="I15" i="31"/>
  <c r="I50" i="39" s="1"/>
  <c r="J15" i="31"/>
  <c r="J30" i="22" s="1"/>
  <c r="H19" i="31"/>
  <c r="L23" i="31"/>
  <c r="M19" i="31"/>
  <c r="D34" i="22"/>
  <c r="N63" i="31"/>
  <c r="C30" i="22"/>
  <c r="M75" i="31"/>
  <c r="L80" i="31"/>
  <c r="K75" i="31"/>
  <c r="K79" i="31"/>
  <c r="E15" i="28"/>
  <c r="E12" i="21"/>
  <c r="E13" i="21" s="1"/>
  <c r="F21" i="17"/>
  <c r="C17" i="39"/>
  <c r="C23" i="39" s="1"/>
  <c r="F54" i="17"/>
  <c r="I53" i="17"/>
  <c r="I10" i="25" s="1"/>
  <c r="J45" i="17"/>
  <c r="I45" i="17"/>
  <c r="AC37" i="21"/>
  <c r="S31" i="21"/>
  <c r="G39" i="17"/>
  <c r="F15" i="39"/>
  <c r="F39" i="17"/>
  <c r="AA19" i="21"/>
  <c r="N54" i="17"/>
  <c r="F27" i="17"/>
  <c r="E27" i="17"/>
  <c r="W19" i="21"/>
  <c r="F53" i="17"/>
  <c r="F56" i="39" s="1"/>
  <c r="F36" i="22" s="1"/>
  <c r="E53" i="17"/>
  <c r="E10" i="25" s="1"/>
  <c r="S20" i="21"/>
  <c r="E23" i="39"/>
  <c r="K33" i="17"/>
  <c r="AC25" i="21"/>
  <c r="J23" i="39"/>
  <c r="I23" i="39"/>
  <c r="J54" i="17"/>
  <c r="J21" i="17"/>
  <c r="E13" i="7"/>
  <c r="C31" i="6"/>
  <c r="E20" i="7"/>
  <c r="E38" i="6" s="1"/>
  <c r="C38" i="6"/>
  <c r="M15" i="39"/>
  <c r="E35" i="6"/>
  <c r="M52" i="39"/>
  <c r="M34" i="22"/>
  <c r="F9" i="28"/>
  <c r="G9" i="28" s="1"/>
  <c r="H9" i="28" s="1"/>
  <c r="I9" i="28" s="1"/>
  <c r="J9" i="28" s="1"/>
  <c r="K9" i="28" s="1"/>
  <c r="L9" i="28" s="1"/>
  <c r="M9" i="28" s="1"/>
  <c r="N9" i="28" s="1"/>
  <c r="O9" i="28" s="1"/>
  <c r="P9" i="28" s="1"/>
  <c r="Q9" i="28" s="1"/>
  <c r="R9" i="28" s="1"/>
  <c r="C10" i="37" s="1"/>
  <c r="E10" i="37" s="1"/>
  <c r="G10" i="37" s="1"/>
  <c r="N23" i="39"/>
  <c r="R15" i="38"/>
  <c r="L39" i="17"/>
  <c r="H45" i="17"/>
  <c r="H51" i="17"/>
  <c r="G16" i="7"/>
  <c r="G34" i="6" s="1"/>
  <c r="F34" i="22"/>
  <c r="E19" i="28"/>
  <c r="F19" i="28" s="1"/>
  <c r="G19" i="28" s="1"/>
  <c r="H19" i="28" s="1"/>
  <c r="I19" i="28" s="1"/>
  <c r="J19" i="28" s="1"/>
  <c r="K19" i="28" s="1"/>
  <c r="L19" i="28" s="1"/>
  <c r="M19" i="28" s="1"/>
  <c r="N19" i="28" s="1"/>
  <c r="O19" i="28" s="1"/>
  <c r="P19" i="28" s="1"/>
  <c r="Q19" i="28" s="1"/>
  <c r="R19" i="28" s="1"/>
  <c r="C20" i="37" s="1"/>
  <c r="E20" i="37" s="1"/>
  <c r="G20" i="37" s="1"/>
  <c r="C20" i="21"/>
  <c r="C21" i="21" s="1"/>
  <c r="C31" i="2"/>
  <c r="C9" i="36" s="1"/>
  <c r="D9" i="36" s="1"/>
  <c r="U26" i="21"/>
  <c r="AA31" i="21"/>
  <c r="U37" i="21"/>
  <c r="D32" i="21"/>
  <c r="D33" i="21" s="1"/>
  <c r="I30" i="22"/>
  <c r="G42" i="2"/>
  <c r="F23" i="39"/>
  <c r="F38" i="21"/>
  <c r="F39" i="21" s="1"/>
  <c r="E22" i="5"/>
  <c r="D22" i="5"/>
  <c r="S15" i="38"/>
  <c r="T15" i="38"/>
  <c r="AA15" i="38"/>
  <c r="Z15" i="38"/>
  <c r="Y15" i="38"/>
  <c r="V15" i="38"/>
  <c r="U15" i="38"/>
  <c r="Q15" i="38"/>
  <c r="W15" i="38"/>
  <c r="D20" i="5"/>
  <c r="F20" i="5"/>
  <c r="E20" i="5"/>
  <c r="D117" i="31"/>
  <c r="D119" i="31" s="1"/>
  <c r="D48" i="39" s="1"/>
  <c r="C28" i="22"/>
  <c r="C48" i="39"/>
  <c r="N51" i="39"/>
  <c r="N31" i="22"/>
  <c r="J64" i="31"/>
  <c r="N60" i="31"/>
  <c r="F60" i="31"/>
  <c r="C64" i="31"/>
  <c r="K63" i="31"/>
  <c r="I59" i="31"/>
  <c r="J63" i="31"/>
  <c r="N59" i="31"/>
  <c r="F59" i="31"/>
  <c r="E64" i="31"/>
  <c r="M63" i="31"/>
  <c r="G59" i="31"/>
  <c r="N64" i="31"/>
  <c r="D64" i="31"/>
  <c r="D60" i="31"/>
  <c r="G60" i="31"/>
  <c r="M59" i="31"/>
  <c r="H63" i="31"/>
  <c r="J59" i="31"/>
  <c r="I64" i="31"/>
  <c r="G63" i="31"/>
  <c r="J55" i="31"/>
  <c r="E55" i="31"/>
  <c r="D56" i="31"/>
  <c r="C55" i="31"/>
  <c r="C52" i="31"/>
  <c r="L64" i="31"/>
  <c r="L60" i="31"/>
  <c r="K64" i="31"/>
  <c r="C60" i="31"/>
  <c r="E59" i="31"/>
  <c r="F63" i="31"/>
  <c r="H59" i="31"/>
  <c r="M60" i="31"/>
  <c r="C63" i="31"/>
  <c r="I55" i="31"/>
  <c r="I52" i="39" s="1"/>
  <c r="G55" i="31"/>
  <c r="D55" i="31"/>
  <c r="E21" i="7"/>
  <c r="C39" i="6"/>
  <c r="H31" i="21"/>
  <c r="W32" i="21"/>
  <c r="B9" i="39"/>
  <c r="B16" i="6"/>
  <c r="B8" i="6"/>
  <c r="B17" i="39"/>
  <c r="A29" i="21"/>
  <c r="B20" i="39"/>
  <c r="B11" i="6"/>
  <c r="B19" i="6"/>
  <c r="H9" i="39"/>
  <c r="H53" i="17"/>
  <c r="H10" i="25" s="1"/>
  <c r="H21" i="17"/>
  <c r="K17" i="39"/>
  <c r="K54" i="17"/>
  <c r="C10" i="39"/>
  <c r="C27" i="17"/>
  <c r="O25" i="17"/>
  <c r="H10" i="39"/>
  <c r="H27" i="17"/>
  <c r="K18" i="39"/>
  <c r="K27" i="17"/>
  <c r="C33" i="17"/>
  <c r="O31" i="17"/>
  <c r="K53" i="17"/>
  <c r="K11" i="39"/>
  <c r="K15" i="39" s="1"/>
  <c r="N53" i="17"/>
  <c r="N11" i="39"/>
  <c r="K20" i="39"/>
  <c r="K39" i="17"/>
  <c r="C51" i="17"/>
  <c r="O49" i="17"/>
  <c r="C14" i="39"/>
  <c r="K22" i="39"/>
  <c r="K51" i="17"/>
  <c r="R11" i="28"/>
  <c r="C12" i="37" s="1"/>
  <c r="E12" i="37" s="1"/>
  <c r="G12" i="37" s="1"/>
  <c r="L45" i="17"/>
  <c r="G75" i="31"/>
  <c r="M76" i="31"/>
  <c r="L59" i="31"/>
  <c r="E63" i="31"/>
  <c r="H60" i="31"/>
  <c r="D39" i="31"/>
  <c r="J39" i="31"/>
  <c r="E84" i="31"/>
  <c r="C28" i="6"/>
  <c r="E10" i="7"/>
  <c r="A11" i="21"/>
  <c r="O30" i="21"/>
  <c r="B12" i="39"/>
  <c r="J25" i="21"/>
  <c r="Y25" i="21"/>
  <c r="C38" i="1"/>
  <c r="F38" i="1"/>
  <c r="L56" i="31"/>
  <c r="C56" i="31"/>
  <c r="C57" i="31" s="1"/>
  <c r="D57" i="31" s="1"/>
  <c r="D53" i="17"/>
  <c r="D35" i="24"/>
  <c r="H36" i="31"/>
  <c r="F75" i="31"/>
  <c r="H76" i="31"/>
  <c r="L55" i="31"/>
  <c r="D133" i="31"/>
  <c r="C138" i="31" s="1"/>
  <c r="C139" i="31" s="1"/>
  <c r="D138" i="31" s="1"/>
  <c r="D139" i="31" s="1"/>
  <c r="E138" i="31" s="1"/>
  <c r="E139" i="31" s="1"/>
  <c r="F138" i="31" s="1"/>
  <c r="I60" i="31"/>
  <c r="D63" i="31"/>
  <c r="I63" i="31"/>
  <c r="J60" i="31"/>
  <c r="F40" i="31"/>
  <c r="J44" i="31"/>
  <c r="C80" i="31"/>
  <c r="L83" i="31"/>
  <c r="F8" i="28"/>
  <c r="F12" i="28" s="1"/>
  <c r="E20" i="28"/>
  <c r="F20" i="28" s="1"/>
  <c r="G20" i="28" s="1"/>
  <c r="H20" i="28" s="1"/>
  <c r="I20" i="28" s="1"/>
  <c r="J20" i="28" s="1"/>
  <c r="K20" i="28" s="1"/>
  <c r="L20" i="28" s="1"/>
  <c r="M20" i="28" s="1"/>
  <c r="N20" i="28" s="1"/>
  <c r="O20" i="28" s="1"/>
  <c r="P20" i="28" s="1"/>
  <c r="Q20" i="28" s="1"/>
  <c r="E12" i="28"/>
  <c r="E16" i="28"/>
  <c r="E21" i="28"/>
  <c r="F21" i="28" s="1"/>
  <c r="G21" i="28" s="1"/>
  <c r="H21" i="28" s="1"/>
  <c r="I21" i="28" s="1"/>
  <c r="J21" i="28" s="1"/>
  <c r="K21" i="28" s="1"/>
  <c r="L21" i="28" s="1"/>
  <c r="M21" i="28" s="1"/>
  <c r="N21" i="28" s="1"/>
  <c r="O21" i="28" s="1"/>
  <c r="P21" i="28" s="1"/>
  <c r="Q21" i="28" s="1"/>
  <c r="E22" i="28"/>
  <c r="F22" i="28" s="1"/>
  <c r="G22" i="28" s="1"/>
  <c r="H22" i="28" s="1"/>
  <c r="I22" i="28" s="1"/>
  <c r="J22" i="28" s="1"/>
  <c r="E18" i="7"/>
  <c r="C36" i="6"/>
  <c r="C27" i="6"/>
  <c r="E9" i="7"/>
  <c r="C15" i="38"/>
  <c r="M15" i="38"/>
  <c r="D15" i="38"/>
  <c r="J15" i="38"/>
  <c r="G15" i="38"/>
  <c r="N15" i="38"/>
  <c r="H15" i="38"/>
  <c r="E15" i="38"/>
  <c r="E18" i="5"/>
  <c r="F18" i="5"/>
  <c r="E76" i="31"/>
  <c r="K76" i="31"/>
  <c r="H75" i="31"/>
  <c r="E83" i="31"/>
  <c r="D79" i="31"/>
  <c r="G83" i="31"/>
  <c r="H80" i="31"/>
  <c r="N76" i="31"/>
  <c r="C76" i="31"/>
  <c r="C77" i="31" s="1"/>
  <c r="G76" i="31"/>
  <c r="L75" i="31"/>
  <c r="D75" i="31"/>
  <c r="J75" i="31"/>
  <c r="N43" i="31"/>
  <c r="J43" i="31"/>
  <c r="F43" i="31"/>
  <c r="M40" i="31"/>
  <c r="E40" i="31"/>
  <c r="M43" i="31"/>
  <c r="I43" i="31"/>
  <c r="E43" i="31"/>
  <c r="K40" i="31"/>
  <c r="C40" i="31"/>
  <c r="E39" i="31"/>
  <c r="K43" i="31"/>
  <c r="C43" i="31"/>
  <c r="I39" i="31"/>
  <c r="D40" i="31"/>
  <c r="M44" i="31"/>
  <c r="I44" i="31"/>
  <c r="E44" i="31"/>
  <c r="L40" i="31"/>
  <c r="L39" i="31"/>
  <c r="C32" i="31"/>
  <c r="E35" i="31"/>
  <c r="F35" i="31"/>
  <c r="E36" i="31"/>
  <c r="I36" i="31"/>
  <c r="M35" i="31"/>
  <c r="N36" i="31"/>
  <c r="L43" i="31"/>
  <c r="I40" i="31"/>
  <c r="C39" i="31"/>
  <c r="N44" i="31"/>
  <c r="H44" i="31"/>
  <c r="C44" i="31"/>
  <c r="N39" i="31"/>
  <c r="G35" i="31"/>
  <c r="L35" i="31"/>
  <c r="F36" i="31"/>
  <c r="K36" i="31"/>
  <c r="M36" i="31"/>
  <c r="H43" i="31"/>
  <c r="G40" i="31"/>
  <c r="H40" i="31"/>
  <c r="L44" i="31"/>
  <c r="G44" i="31"/>
  <c r="N40" i="31"/>
  <c r="H39" i="31"/>
  <c r="D35" i="31"/>
  <c r="J35" i="31"/>
  <c r="G36" i="31"/>
  <c r="L36" i="31"/>
  <c r="C36" i="31"/>
  <c r="C37" i="31" s="1"/>
  <c r="D37" i="31" s="1"/>
  <c r="L53" i="17"/>
  <c r="L9" i="39"/>
  <c r="G17" i="39"/>
  <c r="G54" i="17"/>
  <c r="O20" i="17"/>
  <c r="B14" i="21" s="1"/>
  <c r="C16" i="6" s="1"/>
  <c r="L27" i="17"/>
  <c r="L10" i="39"/>
  <c r="D10" i="39"/>
  <c r="D27" i="17"/>
  <c r="G18" i="39"/>
  <c r="O26" i="17"/>
  <c r="B20" i="21" s="1"/>
  <c r="C17" i="6" s="1"/>
  <c r="G27" i="17"/>
  <c r="G11" i="39"/>
  <c r="G15" i="39" s="1"/>
  <c r="G33" i="17"/>
  <c r="G53" i="17"/>
  <c r="C39" i="17"/>
  <c r="O37" i="17"/>
  <c r="B31" i="21" s="1"/>
  <c r="C11" i="6" s="1"/>
  <c r="C12" i="39"/>
  <c r="D39" i="17"/>
  <c r="D12" i="39"/>
  <c r="G20" i="39"/>
  <c r="O20" i="39" s="1"/>
  <c r="O38" i="17"/>
  <c r="B32" i="21" s="1"/>
  <c r="C19" i="6" s="1"/>
  <c r="C45" i="17"/>
  <c r="O43" i="17"/>
  <c r="K21" i="39"/>
  <c r="K45" i="17"/>
  <c r="G21" i="39"/>
  <c r="O44" i="17"/>
  <c r="B38" i="21" s="1"/>
  <c r="C20" i="6" s="1"/>
  <c r="G45" i="17"/>
  <c r="L14" i="39"/>
  <c r="L51" i="17"/>
  <c r="D14" i="39"/>
  <c r="D51" i="17"/>
  <c r="G22" i="39"/>
  <c r="G51" i="17"/>
  <c r="K30" i="22"/>
  <c r="O19" i="17"/>
  <c r="J56" i="31"/>
  <c r="F55" i="31"/>
  <c r="K21" i="17"/>
  <c r="H14" i="39"/>
  <c r="J36" i="31"/>
  <c r="I76" i="31"/>
  <c r="C21" i="17"/>
  <c r="L76" i="31"/>
  <c r="E60" i="31"/>
  <c r="F44" i="31"/>
  <c r="G43" i="31"/>
  <c r="L79" i="31"/>
  <c r="L12" i="39"/>
  <c r="D13" i="21"/>
  <c r="D46" i="21"/>
  <c r="V26" i="21"/>
  <c r="J37" i="21"/>
  <c r="Y38" i="21"/>
  <c r="H56" i="31"/>
  <c r="N55" i="31"/>
  <c r="N52" i="39" s="1"/>
  <c r="D45" i="17"/>
  <c r="C35" i="31"/>
  <c r="D36" i="31"/>
  <c r="C75" i="31"/>
  <c r="D76" i="31"/>
  <c r="O32" i="17"/>
  <c r="B26" i="21" s="1"/>
  <c r="C18" i="6" s="1"/>
  <c r="G21" i="17"/>
  <c r="H39" i="17"/>
  <c r="H34" i="22"/>
  <c r="H54" i="39"/>
  <c r="C72" i="31"/>
  <c r="H35" i="31"/>
  <c r="H51" i="39" s="1"/>
  <c r="C9" i="39"/>
  <c r="C59" i="31"/>
  <c r="M64" i="31"/>
  <c r="L63" i="31"/>
  <c r="K60" i="31"/>
  <c r="F64" i="31"/>
  <c r="L21" i="17"/>
  <c r="J40" i="31"/>
  <c r="K44" i="31"/>
  <c r="K39" i="31"/>
  <c r="D80" i="31"/>
  <c r="C79" i="31"/>
  <c r="N83" i="31"/>
  <c r="M103" i="31"/>
  <c r="I103" i="31"/>
  <c r="E103" i="31"/>
  <c r="M99" i="31"/>
  <c r="I99" i="31"/>
  <c r="E99" i="31"/>
  <c r="M104" i="31"/>
  <c r="I104" i="31"/>
  <c r="E104" i="31"/>
  <c r="M100" i="31"/>
  <c r="I100" i="31"/>
  <c r="E100" i="31"/>
  <c r="K95" i="31"/>
  <c r="G95" i="31"/>
  <c r="G96" i="31"/>
  <c r="K96" i="31"/>
  <c r="C95" i="31"/>
  <c r="C96" i="31"/>
  <c r="M79" i="31"/>
  <c r="K84" i="31"/>
  <c r="G84" i="31"/>
  <c r="C84" i="31"/>
  <c r="J79" i="31"/>
  <c r="F79" i="31"/>
  <c r="N84" i="31"/>
  <c r="J83" i="31"/>
  <c r="F83" i="31"/>
  <c r="N80" i="31"/>
  <c r="J80" i="31"/>
  <c r="F80" i="31"/>
  <c r="J84" i="31"/>
  <c r="F84" i="31"/>
  <c r="N79" i="31"/>
  <c r="I79" i="31"/>
  <c r="E79" i="31"/>
  <c r="M83" i="31"/>
  <c r="I83" i="31"/>
  <c r="D84" i="31"/>
  <c r="M80" i="31"/>
  <c r="I80" i="31"/>
  <c r="E80" i="31"/>
  <c r="L84" i="31"/>
  <c r="D83" i="31"/>
  <c r="G79" i="31"/>
  <c r="K83" i="31"/>
  <c r="C83" i="31"/>
  <c r="G80" i="31"/>
  <c r="M84" i="31"/>
  <c r="F76" i="31"/>
  <c r="J76" i="31"/>
  <c r="N75" i="31"/>
  <c r="E75" i="31"/>
  <c r="I75" i="31"/>
  <c r="H55" i="31"/>
  <c r="K56" i="31"/>
  <c r="F56" i="31"/>
  <c r="N56" i="31"/>
  <c r="K55" i="31"/>
  <c r="E56" i="31"/>
  <c r="I56" i="31"/>
  <c r="M24" i="31"/>
  <c r="E24" i="31"/>
  <c r="I23" i="31"/>
  <c r="M20" i="31"/>
  <c r="E20" i="31"/>
  <c r="I19" i="31"/>
  <c r="N24" i="31"/>
  <c r="F24" i="31"/>
  <c r="J23" i="31"/>
  <c r="N20" i="31"/>
  <c r="F20" i="31"/>
  <c r="J19" i="31"/>
  <c r="K16" i="31"/>
  <c r="N15" i="31"/>
  <c r="F15" i="31"/>
  <c r="L16" i="31"/>
  <c r="D16" i="31"/>
  <c r="G15" i="31"/>
  <c r="U20" i="21"/>
  <c r="R25" i="21"/>
  <c r="O24" i="21"/>
  <c r="I26" i="21"/>
  <c r="R38" i="21"/>
  <c r="O36" i="21"/>
  <c r="K80" i="31"/>
  <c r="H83" i="31"/>
  <c r="H79" i="31"/>
  <c r="H84" i="31"/>
  <c r="L44" i="39"/>
  <c r="D44" i="39"/>
  <c r="O27" i="39"/>
  <c r="O36" i="39"/>
  <c r="O32" i="39"/>
  <c r="O29" i="39"/>
  <c r="K44" i="39"/>
  <c r="C46" i="21"/>
  <c r="K20" i="21"/>
  <c r="K19" i="21"/>
  <c r="T20" i="21"/>
  <c r="C23" i="7"/>
  <c r="O41" i="39"/>
  <c r="E18" i="28"/>
  <c r="F18" i="28" s="1"/>
  <c r="G18" i="28" s="1"/>
  <c r="H18" i="28" s="1"/>
  <c r="I18" i="28" s="1"/>
  <c r="J18" i="28" s="1"/>
  <c r="K18" i="28" s="1"/>
  <c r="L18" i="28" s="1"/>
  <c r="M18" i="28" s="1"/>
  <c r="N18" i="28" s="1"/>
  <c r="O18" i="28" s="1"/>
  <c r="P18" i="28" s="1"/>
  <c r="Q18" i="28" s="1"/>
  <c r="E17" i="28"/>
  <c r="F17" i="28" s="1"/>
  <c r="K44" i="21"/>
  <c r="Z44" i="21"/>
  <c r="W43" i="21"/>
  <c r="H44" i="21"/>
  <c r="S43" i="21"/>
  <c r="D44" i="21"/>
  <c r="O42" i="21"/>
  <c r="B11" i="39"/>
  <c r="A23" i="21"/>
  <c r="B19" i="39"/>
  <c r="E45" i="17"/>
  <c r="E13" i="39"/>
  <c r="O13" i="39" s="1"/>
  <c r="E14" i="39"/>
  <c r="E15" i="39" s="1"/>
  <c r="E51" i="17"/>
  <c r="O50" i="17"/>
  <c r="B44" i="21" s="1"/>
  <c r="C21" i="6" s="1"/>
  <c r="D22" i="39"/>
  <c r="O22" i="39" s="1"/>
  <c r="M39" i="31"/>
  <c r="O18" i="21"/>
  <c r="C14" i="21"/>
  <c r="C15" i="21" s="1"/>
  <c r="M25" i="21"/>
  <c r="M27" i="21" s="1"/>
  <c r="K22" i="28"/>
  <c r="L22" i="28" s="1"/>
  <c r="M22" i="28" s="1"/>
  <c r="N22" i="28" s="1"/>
  <c r="O22" i="28" s="1"/>
  <c r="P22" i="28" s="1"/>
  <c r="Q22" i="28" s="1"/>
  <c r="F19" i="5"/>
  <c r="E19" i="5"/>
  <c r="D19" i="5"/>
  <c r="P35" i="24"/>
  <c r="G33" i="6"/>
  <c r="D30" i="22"/>
  <c r="D50" i="39"/>
  <c r="L50" i="39"/>
  <c r="P39" i="17"/>
  <c r="J10" i="28"/>
  <c r="K10" i="28" s="1"/>
  <c r="L10" i="28" s="1"/>
  <c r="M10" i="28" s="1"/>
  <c r="N10" i="28" s="1"/>
  <c r="O10" i="28" s="1"/>
  <c r="P10" i="28" s="1"/>
  <c r="Q10" i="28" s="1"/>
  <c r="K31" i="22"/>
  <c r="I31" i="22"/>
  <c r="I51" i="39"/>
  <c r="J15" i="39"/>
  <c r="N34" i="22"/>
  <c r="N54" i="39"/>
  <c r="O19" i="39"/>
  <c r="E34" i="22"/>
  <c r="E54" i="39"/>
  <c r="I34" i="22"/>
  <c r="I54" i="39"/>
  <c r="O14" i="39"/>
  <c r="D20" i="25"/>
  <c r="O20" i="25" s="1"/>
  <c r="B19" i="38" s="1"/>
  <c r="O25" i="22"/>
  <c r="O52" i="17"/>
  <c r="E23" i="5"/>
  <c r="D23" i="5"/>
  <c r="K33" i="22"/>
  <c r="K53" i="39"/>
  <c r="G33" i="22"/>
  <c r="G53" i="39"/>
  <c r="D21" i="5"/>
  <c r="E21" i="5"/>
  <c r="O16" i="25"/>
  <c r="B15" i="38" s="1"/>
  <c r="D13" i="5"/>
  <c r="E13" i="5" s="1"/>
  <c r="F13" i="5" s="1"/>
  <c r="D135" i="31"/>
  <c r="C149" i="31" s="1"/>
  <c r="R26" i="21"/>
  <c r="V38" i="21"/>
  <c r="V37" i="21"/>
  <c r="AB20" i="21"/>
  <c r="AB19" i="21"/>
  <c r="T19" i="21"/>
  <c r="AB32" i="21"/>
  <c r="AB31" i="21"/>
  <c r="T32" i="21"/>
  <c r="T31" i="21"/>
  <c r="AB44" i="21"/>
  <c r="AB43" i="21"/>
  <c r="Z26" i="21"/>
  <c r="Z25" i="21"/>
  <c r="Z38" i="21"/>
  <c r="Z37" i="21"/>
  <c r="Z39" i="21" s="1"/>
  <c r="X20" i="21"/>
  <c r="X19" i="21"/>
  <c r="X32" i="21"/>
  <c r="X31" i="21"/>
  <c r="T44" i="21"/>
  <c r="T43" i="21"/>
  <c r="AC20" i="21"/>
  <c r="AC19" i="21"/>
  <c r="Y20" i="21"/>
  <c r="Y19" i="21"/>
  <c r="AA26" i="21"/>
  <c r="AA25" i="21"/>
  <c r="W26" i="21"/>
  <c r="W25" i="21"/>
  <c r="S26" i="21"/>
  <c r="S25" i="21"/>
  <c r="AC32" i="21"/>
  <c r="AC31" i="21"/>
  <c r="Y32" i="21"/>
  <c r="Y31" i="21"/>
  <c r="U32" i="21"/>
  <c r="U31" i="21"/>
  <c r="AA38" i="21"/>
  <c r="AA37" i="21"/>
  <c r="W38" i="21"/>
  <c r="W37" i="21"/>
  <c r="S38" i="21"/>
  <c r="S37" i="21"/>
  <c r="L43" i="21"/>
  <c r="X44" i="21"/>
  <c r="X43" i="21"/>
  <c r="W20" i="21"/>
  <c r="N19" i="21"/>
  <c r="N20" i="21"/>
  <c r="J19" i="21"/>
  <c r="J20" i="21"/>
  <c r="F19" i="21"/>
  <c r="F20" i="21"/>
  <c r="L25" i="21"/>
  <c r="L26" i="21"/>
  <c r="H25" i="21"/>
  <c r="H26" i="21"/>
  <c r="D25" i="21"/>
  <c r="D26" i="21"/>
  <c r="N31" i="21"/>
  <c r="N32" i="21"/>
  <c r="J31" i="21"/>
  <c r="J32" i="21"/>
  <c r="F31" i="21"/>
  <c r="F32" i="21"/>
  <c r="L37" i="21"/>
  <c r="L38" i="21"/>
  <c r="H37" i="21"/>
  <c r="H38" i="21"/>
  <c r="D37" i="21"/>
  <c r="D38" i="21"/>
  <c r="N43" i="21"/>
  <c r="N44" i="21"/>
  <c r="I43" i="21"/>
  <c r="I44" i="21"/>
  <c r="M38" i="1"/>
  <c r="E38" i="1"/>
  <c r="H38" i="1"/>
  <c r="G38" i="1"/>
  <c r="J38" i="1"/>
  <c r="B38" i="1"/>
  <c r="I38" i="1"/>
  <c r="L38" i="1"/>
  <c r="D38" i="1"/>
  <c r="C32" i="21"/>
  <c r="D20" i="21"/>
  <c r="F26" i="21"/>
  <c r="F27" i="21" s="1"/>
  <c r="AC26" i="21"/>
  <c r="H32" i="21"/>
  <c r="E37" i="21"/>
  <c r="E39" i="21" s="1"/>
  <c r="J38" i="21"/>
  <c r="G43" i="21"/>
  <c r="G45" i="21" s="1"/>
  <c r="L44" i="21"/>
  <c r="S44" i="21"/>
  <c r="K38" i="1"/>
  <c r="C44" i="21"/>
  <c r="H20" i="21"/>
  <c r="E25" i="21"/>
  <c r="E27" i="21" s="1"/>
  <c r="J26" i="21"/>
  <c r="G31" i="21"/>
  <c r="G33" i="21" s="1"/>
  <c r="L32" i="21"/>
  <c r="L33" i="21" s="1"/>
  <c r="S32" i="21"/>
  <c r="I37" i="21"/>
  <c r="I39" i="21" s="1"/>
  <c r="N38" i="21"/>
  <c r="N39" i="21" s="1"/>
  <c r="U38" i="21"/>
  <c r="U39" i="21" s="1"/>
  <c r="K43" i="21"/>
  <c r="M19" i="21"/>
  <c r="M20" i="21"/>
  <c r="I19" i="21"/>
  <c r="I20" i="21"/>
  <c r="E19" i="21"/>
  <c r="E20" i="21"/>
  <c r="C26" i="21"/>
  <c r="C25" i="21"/>
  <c r="K25" i="21"/>
  <c r="K26" i="21"/>
  <c r="G25" i="21"/>
  <c r="G26" i="21"/>
  <c r="M31" i="21"/>
  <c r="M32" i="21"/>
  <c r="I31" i="21"/>
  <c r="I32" i="21"/>
  <c r="E31" i="21"/>
  <c r="E32" i="21"/>
  <c r="C38" i="21"/>
  <c r="C37" i="21"/>
  <c r="K37" i="21"/>
  <c r="K38" i="21"/>
  <c r="G37" i="21"/>
  <c r="G38" i="21"/>
  <c r="M43" i="21"/>
  <c r="M44" i="21"/>
  <c r="J43" i="21"/>
  <c r="J44" i="21"/>
  <c r="E43" i="21"/>
  <c r="E44" i="21"/>
  <c r="D14" i="21"/>
  <c r="G19" i="21"/>
  <c r="G21" i="21" s="1"/>
  <c r="L20" i="21"/>
  <c r="L21" i="21" s="1"/>
  <c r="I25" i="21"/>
  <c r="N26" i="21"/>
  <c r="N27" i="21" s="1"/>
  <c r="K31" i="21"/>
  <c r="K33" i="21" s="1"/>
  <c r="M37" i="21"/>
  <c r="M39" i="21" s="1"/>
  <c r="D43" i="21"/>
  <c r="H43" i="21"/>
  <c r="F44" i="21"/>
  <c r="F45" i="21" s="1"/>
  <c r="I15" i="39" l="1"/>
  <c r="AC27" i="21"/>
  <c r="P26" i="17"/>
  <c r="E14" i="21"/>
  <c r="D18" i="25"/>
  <c r="M55" i="17"/>
  <c r="C10" i="25"/>
  <c r="C12" i="25" s="1"/>
  <c r="C56" i="39"/>
  <c r="C36" i="22" s="1"/>
  <c r="B19" i="21"/>
  <c r="C9" i="6" s="1"/>
  <c r="N18" i="25"/>
  <c r="J56" i="39"/>
  <c r="J36" i="22" s="1"/>
  <c r="E18" i="25"/>
  <c r="N15" i="39"/>
  <c r="N24" i="39" s="1"/>
  <c r="G20" i="7"/>
  <c r="G38" i="6" s="1"/>
  <c r="J19" i="38"/>
  <c r="M19" i="38"/>
  <c r="G19" i="7"/>
  <c r="G37" i="6" s="1"/>
  <c r="C55" i="17"/>
  <c r="F18" i="25"/>
  <c r="K11" i="25"/>
  <c r="J55" i="17"/>
  <c r="L55" i="17"/>
  <c r="N55" i="17"/>
  <c r="F24" i="39"/>
  <c r="M10" i="25"/>
  <c r="J18" i="25"/>
  <c r="W21" i="21"/>
  <c r="R20" i="28"/>
  <c r="C21" i="37" s="1"/>
  <c r="E21" i="37" s="1"/>
  <c r="G21" i="37" s="1"/>
  <c r="R18" i="28"/>
  <c r="C19" i="37" s="1"/>
  <c r="E19" i="37" s="1"/>
  <c r="G19" i="37" s="1"/>
  <c r="H30" i="22"/>
  <c r="J50" i="39"/>
  <c r="E50" i="39"/>
  <c r="M30" i="22"/>
  <c r="M50" i="39"/>
  <c r="D24" i="25"/>
  <c r="G23" i="38"/>
  <c r="O100" i="31"/>
  <c r="I32" i="22"/>
  <c r="N32" i="22"/>
  <c r="H31" i="22"/>
  <c r="J24" i="25"/>
  <c r="W23" i="38"/>
  <c r="O16" i="31"/>
  <c r="O15" i="31"/>
  <c r="L24" i="25"/>
  <c r="Q23" i="38"/>
  <c r="M33" i="22"/>
  <c r="M53" i="39"/>
  <c r="C39" i="2"/>
  <c r="C35" i="2"/>
  <c r="D43" i="2"/>
  <c r="E43" i="2" s="1"/>
  <c r="C41" i="2"/>
  <c r="C38" i="2"/>
  <c r="C37" i="2"/>
  <c r="C42" i="2"/>
  <c r="C40" i="2"/>
  <c r="C34" i="2"/>
  <c r="X23" i="38"/>
  <c r="R23" i="38"/>
  <c r="O40" i="31"/>
  <c r="O44" i="39"/>
  <c r="O19" i="31"/>
  <c r="E28" i="7" s="1"/>
  <c r="E49" i="6" s="1"/>
  <c r="E23" i="7"/>
  <c r="O9" i="39"/>
  <c r="O56" i="31"/>
  <c r="S45" i="21"/>
  <c r="S33" i="21"/>
  <c r="AC38" i="21"/>
  <c r="AC39" i="21" s="1"/>
  <c r="U25" i="21"/>
  <c r="U27" i="21" s="1"/>
  <c r="X21" i="21"/>
  <c r="S19" i="21"/>
  <c r="S21" i="21" s="1"/>
  <c r="K21" i="21"/>
  <c r="F12" i="21"/>
  <c r="E46" i="21"/>
  <c r="H39" i="21"/>
  <c r="K45" i="21"/>
  <c r="J39" i="21"/>
  <c r="H45" i="21"/>
  <c r="AC44" i="21"/>
  <c r="AA20" i="21"/>
  <c r="AA21" i="21" s="1"/>
  <c r="Z43" i="21"/>
  <c r="I27" i="21"/>
  <c r="N45" i="21"/>
  <c r="Y37" i="21"/>
  <c r="Y39" i="21" s="1"/>
  <c r="W31" i="21"/>
  <c r="W33" i="21" s="1"/>
  <c r="E55" i="17"/>
  <c r="G18" i="25"/>
  <c r="F55" i="17"/>
  <c r="F10" i="25"/>
  <c r="G11" i="25"/>
  <c r="J24" i="39"/>
  <c r="I55" i="17"/>
  <c r="I56" i="39"/>
  <c r="I36" i="22" s="1"/>
  <c r="D23" i="39"/>
  <c r="I45" i="21"/>
  <c r="E56" i="39"/>
  <c r="E36" i="22" s="1"/>
  <c r="O27" i="17"/>
  <c r="B21" i="21" s="1"/>
  <c r="I24" i="39"/>
  <c r="E24" i="39"/>
  <c r="G23" i="39"/>
  <c r="G24" i="39" s="1"/>
  <c r="O54" i="17"/>
  <c r="Q44" i="17" s="1"/>
  <c r="I18" i="25"/>
  <c r="Y26" i="21"/>
  <c r="Y27" i="21" s="1"/>
  <c r="I11" i="25"/>
  <c r="I12" i="25" s="1"/>
  <c r="J11" i="25"/>
  <c r="J12" i="25" s="1"/>
  <c r="M18" i="25"/>
  <c r="M45" i="21"/>
  <c r="K39" i="21"/>
  <c r="M33" i="21"/>
  <c r="K27" i="21"/>
  <c r="M21" i="21"/>
  <c r="Z45" i="21"/>
  <c r="AA32" i="21"/>
  <c r="AA33" i="21" s="1"/>
  <c r="L45" i="21"/>
  <c r="S39" i="21"/>
  <c r="AA39" i="21"/>
  <c r="Y33" i="21"/>
  <c r="S27" i="21"/>
  <c r="AA27" i="21"/>
  <c r="AC21" i="21"/>
  <c r="X33" i="21"/>
  <c r="R37" i="21"/>
  <c r="L19" i="38"/>
  <c r="F15" i="28"/>
  <c r="E37" i="31"/>
  <c r="F37" i="31" s="1"/>
  <c r="G37" i="31" s="1"/>
  <c r="H37" i="31" s="1"/>
  <c r="I37" i="31" s="1"/>
  <c r="J37" i="31" s="1"/>
  <c r="K37" i="31" s="1"/>
  <c r="L37" i="31" s="1"/>
  <c r="M37" i="31" s="1"/>
  <c r="N37" i="31" s="1"/>
  <c r="K23" i="38"/>
  <c r="C43" i="6"/>
  <c r="F16" i="28"/>
  <c r="F23" i="38"/>
  <c r="AA23" i="38"/>
  <c r="O23" i="31"/>
  <c r="G28" i="7" s="1"/>
  <c r="G49" i="6" s="1"/>
  <c r="K24" i="25"/>
  <c r="G24" i="25"/>
  <c r="O103" i="31"/>
  <c r="G32" i="7" s="1"/>
  <c r="G53" i="6" s="1"/>
  <c r="O21" i="39"/>
  <c r="H23" i="38"/>
  <c r="C23" i="38"/>
  <c r="I23" i="38"/>
  <c r="Z23" i="38"/>
  <c r="N19" i="38"/>
  <c r="O17" i="39"/>
  <c r="C15" i="39"/>
  <c r="C24" i="39" s="1"/>
  <c r="O18" i="39"/>
  <c r="C19" i="38"/>
  <c r="H33" i="21"/>
  <c r="X45" i="21"/>
  <c r="AC43" i="21"/>
  <c r="AC45" i="21" s="1"/>
  <c r="W39" i="21"/>
  <c r="U33" i="21"/>
  <c r="AC33" i="21"/>
  <c r="W27" i="21"/>
  <c r="Y21" i="21"/>
  <c r="T45" i="21"/>
  <c r="V39" i="21"/>
  <c r="O76" i="31"/>
  <c r="D17" i="31"/>
  <c r="E17" i="31" s="1"/>
  <c r="F17" i="31" s="1"/>
  <c r="G17" i="31" s="1"/>
  <c r="H17" i="31" s="1"/>
  <c r="I17" i="31" s="1"/>
  <c r="J17" i="31" s="1"/>
  <c r="K17" i="31" s="1"/>
  <c r="L17" i="31" s="1"/>
  <c r="M17" i="31" s="1"/>
  <c r="N17" i="31" s="1"/>
  <c r="C21" i="31" s="1"/>
  <c r="D21" i="31" s="1"/>
  <c r="E21" i="31" s="1"/>
  <c r="F21" i="31" s="1"/>
  <c r="G21" i="31" s="1"/>
  <c r="H21" i="31" s="1"/>
  <c r="I21" i="31" s="1"/>
  <c r="J21" i="31" s="1"/>
  <c r="K21" i="31" s="1"/>
  <c r="L21" i="31" s="1"/>
  <c r="M21" i="31" s="1"/>
  <c r="N21" i="31" s="1"/>
  <c r="G8" i="28"/>
  <c r="G16" i="28" s="1"/>
  <c r="R21" i="28"/>
  <c r="C22" i="37" s="1"/>
  <c r="E22" i="37" s="1"/>
  <c r="G22" i="37" s="1"/>
  <c r="N23" i="38"/>
  <c r="O24" i="31"/>
  <c r="O84" i="31"/>
  <c r="O99" i="31"/>
  <c r="E32" i="7" s="1"/>
  <c r="E53" i="6" s="1"/>
  <c r="O44" i="31"/>
  <c r="D15" i="39"/>
  <c r="G55" i="17"/>
  <c r="O36" i="31"/>
  <c r="I24" i="25"/>
  <c r="T23" i="38"/>
  <c r="H24" i="25"/>
  <c r="M23" i="38"/>
  <c r="U23" i="38"/>
  <c r="M24" i="39"/>
  <c r="G13" i="7"/>
  <c r="G31" i="6" s="1"/>
  <c r="E31" i="6"/>
  <c r="F24" i="5"/>
  <c r="AB15" i="38"/>
  <c r="O15" i="38"/>
  <c r="E117" i="31"/>
  <c r="E119" i="31" s="1"/>
  <c r="D28" i="22"/>
  <c r="G17" i="28"/>
  <c r="H17" i="28" s="1"/>
  <c r="I17" i="28" s="1"/>
  <c r="J17" i="28" s="1"/>
  <c r="K17" i="28" s="1"/>
  <c r="L17" i="28" s="1"/>
  <c r="M17" i="28" s="1"/>
  <c r="N17" i="28" s="1"/>
  <c r="O17" i="28" s="1"/>
  <c r="P17" i="28" s="1"/>
  <c r="Q17" i="28" s="1"/>
  <c r="N53" i="39"/>
  <c r="N33" i="22"/>
  <c r="E23" i="28"/>
  <c r="E25" i="28" s="1"/>
  <c r="O11" i="39"/>
  <c r="C24" i="25"/>
  <c r="O35" i="31"/>
  <c r="F52" i="39"/>
  <c r="F32" i="22"/>
  <c r="L56" i="39"/>
  <c r="L36" i="22" s="1"/>
  <c r="N11" i="25"/>
  <c r="H53" i="39"/>
  <c r="H33" i="22"/>
  <c r="K56" i="39"/>
  <c r="K36" i="22" s="1"/>
  <c r="L11" i="25"/>
  <c r="K55" i="17"/>
  <c r="K10" i="25"/>
  <c r="E32" i="22"/>
  <c r="E52" i="39"/>
  <c r="P38" i="17"/>
  <c r="G30" i="22"/>
  <c r="G50" i="39"/>
  <c r="K32" i="22"/>
  <c r="K52" i="39"/>
  <c r="O83" i="31"/>
  <c r="G31" i="7" s="1"/>
  <c r="G52" i="6" s="1"/>
  <c r="O96" i="31"/>
  <c r="C97" i="31"/>
  <c r="D97" i="31" s="1"/>
  <c r="E97" i="31" s="1"/>
  <c r="F97" i="31" s="1"/>
  <c r="G97" i="31" s="1"/>
  <c r="H97" i="31" s="1"/>
  <c r="I97" i="31" s="1"/>
  <c r="J97" i="31" s="1"/>
  <c r="K97" i="31" s="1"/>
  <c r="L97" i="31" s="1"/>
  <c r="M97" i="31" s="1"/>
  <c r="N97" i="31" s="1"/>
  <c r="O39" i="17"/>
  <c r="B33" i="21" s="1"/>
  <c r="O80" i="31"/>
  <c r="G16" i="17"/>
  <c r="V10" i="21"/>
  <c r="G8" i="22"/>
  <c r="G7" i="39"/>
  <c r="H28" i="24"/>
  <c r="G10" i="21"/>
  <c r="B43" i="21"/>
  <c r="C13" i="6" s="1"/>
  <c r="P51" i="17"/>
  <c r="P50" i="17"/>
  <c r="B25" i="21"/>
  <c r="C10" i="6" s="1"/>
  <c r="P32" i="17"/>
  <c r="W44" i="21"/>
  <c r="W45" i="21" s="1"/>
  <c r="J27" i="21"/>
  <c r="U19" i="21"/>
  <c r="U21" i="21" s="1"/>
  <c r="V25" i="21"/>
  <c r="V27" i="21" s="1"/>
  <c r="G21" i="7"/>
  <c r="G39" i="6" s="1"/>
  <c r="V23" i="38"/>
  <c r="O20" i="31"/>
  <c r="S23" i="38"/>
  <c r="C51" i="39"/>
  <c r="O39" i="31"/>
  <c r="E29" i="7" s="1"/>
  <c r="E50" i="6" s="1"/>
  <c r="D19" i="38"/>
  <c r="H56" i="39"/>
  <c r="H36" i="22" s="1"/>
  <c r="H18" i="25"/>
  <c r="I53" i="39"/>
  <c r="I33" i="22"/>
  <c r="C54" i="39"/>
  <c r="C34" i="22"/>
  <c r="K34" i="22"/>
  <c r="K54" i="39"/>
  <c r="O104" i="31"/>
  <c r="C53" i="39"/>
  <c r="C33" i="22"/>
  <c r="O75" i="31"/>
  <c r="B13" i="21"/>
  <c r="C8" i="6" s="1"/>
  <c r="P20" i="17"/>
  <c r="O45" i="17"/>
  <c r="B39" i="21" s="1"/>
  <c r="H11" i="25"/>
  <c r="H12" i="25" s="1"/>
  <c r="G56" i="39"/>
  <c r="G36" i="22" s="1"/>
  <c r="G10" i="25"/>
  <c r="O10" i="39"/>
  <c r="J51" i="39"/>
  <c r="J31" i="22"/>
  <c r="L31" i="22"/>
  <c r="L51" i="39"/>
  <c r="L23" i="38"/>
  <c r="J33" i="22"/>
  <c r="J53" i="39"/>
  <c r="D77" i="31"/>
  <c r="E77" i="31" s="1"/>
  <c r="F77" i="31" s="1"/>
  <c r="G77" i="31" s="1"/>
  <c r="H77" i="31" s="1"/>
  <c r="I77" i="31" s="1"/>
  <c r="J77" i="31" s="1"/>
  <c r="K77" i="31" s="1"/>
  <c r="L77" i="31" s="1"/>
  <c r="M77" i="31" s="1"/>
  <c r="N77" i="31" s="1"/>
  <c r="G9" i="7"/>
  <c r="E27" i="6"/>
  <c r="O63" i="31"/>
  <c r="G30" i="7" s="1"/>
  <c r="G51" i="6" s="1"/>
  <c r="L52" i="39"/>
  <c r="L32" i="22"/>
  <c r="E11" i="25"/>
  <c r="E12" i="25" s="1"/>
  <c r="D56" i="39"/>
  <c r="D36" i="22" s="1"/>
  <c r="D55" i="17"/>
  <c r="D10" i="25"/>
  <c r="D12" i="25" s="1"/>
  <c r="S10" i="21"/>
  <c r="D10" i="21"/>
  <c r="D16" i="17"/>
  <c r="D7" i="39"/>
  <c r="D8" i="22"/>
  <c r="E28" i="24"/>
  <c r="E28" i="6"/>
  <c r="G10" i="7"/>
  <c r="G28" i="6" s="1"/>
  <c r="D23" i="38"/>
  <c r="O51" i="17"/>
  <c r="B45" i="21" s="1"/>
  <c r="C10" i="38"/>
  <c r="N10" i="25"/>
  <c r="N56" i="39"/>
  <c r="N36" i="22" s="1"/>
  <c r="O33" i="17"/>
  <c r="B27" i="21" s="1"/>
  <c r="K18" i="25"/>
  <c r="L18" i="25"/>
  <c r="H15" i="39"/>
  <c r="H24" i="39" s="1"/>
  <c r="G32" i="22"/>
  <c r="G52" i="39"/>
  <c r="O59" i="31"/>
  <c r="E30" i="7" s="1"/>
  <c r="E51" i="6" s="1"/>
  <c r="C32" i="22"/>
  <c r="C52" i="39"/>
  <c r="O55" i="31"/>
  <c r="F11" i="25"/>
  <c r="E24" i="5"/>
  <c r="F24" i="25"/>
  <c r="F30" i="22"/>
  <c r="F50" i="39"/>
  <c r="C22" i="6"/>
  <c r="C26" i="27" s="1"/>
  <c r="M31" i="22"/>
  <c r="M51" i="39"/>
  <c r="M24" i="25"/>
  <c r="E31" i="22"/>
  <c r="E51" i="39"/>
  <c r="E24" i="25"/>
  <c r="L53" i="39"/>
  <c r="L33" i="22"/>
  <c r="E39" i="6"/>
  <c r="C31" i="22"/>
  <c r="I19" i="38"/>
  <c r="E19" i="38"/>
  <c r="M11" i="25"/>
  <c r="N30" i="22"/>
  <c r="N50" i="39"/>
  <c r="H52" i="39"/>
  <c r="H32" i="22"/>
  <c r="G54" i="39"/>
  <c r="O54" i="39" s="1"/>
  <c r="G34" i="22"/>
  <c r="E23" i="38"/>
  <c r="B37" i="21"/>
  <c r="C12" i="6" s="1"/>
  <c r="P44" i="17"/>
  <c r="P45" i="17"/>
  <c r="O43" i="31"/>
  <c r="G29" i="7" s="1"/>
  <c r="G50" i="6" s="1"/>
  <c r="P23" i="38"/>
  <c r="G18" i="7"/>
  <c r="G36" i="6" s="1"/>
  <c r="E36" i="6"/>
  <c r="D32" i="22"/>
  <c r="D52" i="39"/>
  <c r="O60" i="31"/>
  <c r="J32" i="22"/>
  <c r="J52" i="39"/>
  <c r="AD24" i="21"/>
  <c r="Z27" i="21"/>
  <c r="AB33" i="21"/>
  <c r="AB21" i="21"/>
  <c r="H19" i="38"/>
  <c r="O95" i="31"/>
  <c r="G19" i="38"/>
  <c r="F19" i="38"/>
  <c r="L10" i="25"/>
  <c r="H55" i="17"/>
  <c r="N24" i="25"/>
  <c r="K19" i="38"/>
  <c r="J23" i="38"/>
  <c r="E33" i="22"/>
  <c r="E53" i="39"/>
  <c r="O79" i="31"/>
  <c r="E31" i="7" s="1"/>
  <c r="E52" i="6" s="1"/>
  <c r="Y23" i="38"/>
  <c r="O21" i="17"/>
  <c r="P21" i="17" s="1"/>
  <c r="O12" i="39"/>
  <c r="L15" i="39"/>
  <c r="L24" i="39" s="1"/>
  <c r="D51" i="39"/>
  <c r="D31" i="22"/>
  <c r="G51" i="39"/>
  <c r="G31" i="22"/>
  <c r="F31" i="22"/>
  <c r="F51" i="39"/>
  <c r="D33" i="22"/>
  <c r="D53" i="39"/>
  <c r="F33" i="22"/>
  <c r="F53" i="39"/>
  <c r="E57" i="31"/>
  <c r="F57" i="31" s="1"/>
  <c r="G57" i="31" s="1"/>
  <c r="H57" i="31" s="1"/>
  <c r="I57" i="31" s="1"/>
  <c r="J57" i="31" s="1"/>
  <c r="K57" i="31" s="1"/>
  <c r="L57" i="31" s="1"/>
  <c r="M57" i="31" s="1"/>
  <c r="N57" i="31" s="1"/>
  <c r="O53" i="17"/>
  <c r="K23" i="39"/>
  <c r="K24" i="39" s="1"/>
  <c r="O64" i="31"/>
  <c r="D45" i="21"/>
  <c r="O43" i="21"/>
  <c r="C27" i="21"/>
  <c r="O25" i="21"/>
  <c r="C47" i="21"/>
  <c r="R44" i="21"/>
  <c r="R43" i="21"/>
  <c r="AD42" i="21"/>
  <c r="F16" i="17"/>
  <c r="U10" i="21"/>
  <c r="F10" i="21"/>
  <c r="G28" i="24"/>
  <c r="F8" i="22"/>
  <c r="F7" i="39"/>
  <c r="E48" i="21"/>
  <c r="J45" i="21"/>
  <c r="I33" i="21"/>
  <c r="C48" i="21"/>
  <c r="O26" i="21"/>
  <c r="E18" i="6" s="1"/>
  <c r="C45" i="21"/>
  <c r="O44" i="21"/>
  <c r="E21" i="6" s="1"/>
  <c r="T38" i="21"/>
  <c r="T37" i="21"/>
  <c r="AD36" i="21"/>
  <c r="Z32" i="21"/>
  <c r="Z31" i="21"/>
  <c r="AB26" i="21"/>
  <c r="AB25" i="21"/>
  <c r="D21" i="21"/>
  <c r="O20" i="21"/>
  <c r="E17" i="6" s="1"/>
  <c r="T10" i="21"/>
  <c r="E10" i="21"/>
  <c r="E16" i="17"/>
  <c r="E8" i="22"/>
  <c r="F28" i="24"/>
  <c r="E7" i="39"/>
  <c r="K16" i="17"/>
  <c r="Z10" i="21"/>
  <c r="K10" i="21"/>
  <c r="K8" i="22"/>
  <c r="L28" i="24"/>
  <c r="K7" i="39"/>
  <c r="AC10" i="21"/>
  <c r="N10" i="21"/>
  <c r="N16" i="17"/>
  <c r="O28" i="24"/>
  <c r="N8" i="22"/>
  <c r="N7" i="39"/>
  <c r="D39" i="21"/>
  <c r="L39" i="21"/>
  <c r="J33" i="21"/>
  <c r="D27" i="21"/>
  <c r="D47" i="21"/>
  <c r="L27" i="21"/>
  <c r="J21" i="21"/>
  <c r="AA44" i="21"/>
  <c r="AA43" i="21"/>
  <c r="E15" i="21"/>
  <c r="E47" i="21"/>
  <c r="C150" i="31"/>
  <c r="D149" i="31" s="1"/>
  <c r="Q42" i="17"/>
  <c r="Q18" i="17"/>
  <c r="Q24" i="17"/>
  <c r="B46" i="21"/>
  <c r="Q30" i="17"/>
  <c r="Q48" i="17"/>
  <c r="Q36" i="17"/>
  <c r="P37" i="17"/>
  <c r="C39" i="21"/>
  <c r="O37" i="21"/>
  <c r="H21" i="21"/>
  <c r="X26" i="21"/>
  <c r="X25" i="21"/>
  <c r="C10" i="21"/>
  <c r="R10" i="21"/>
  <c r="C16" i="17"/>
  <c r="C8" i="22"/>
  <c r="D28" i="24"/>
  <c r="C7" i="39"/>
  <c r="E45" i="21"/>
  <c r="G39" i="21"/>
  <c r="G27" i="21"/>
  <c r="I21" i="21"/>
  <c r="U44" i="21"/>
  <c r="U43" i="21"/>
  <c r="V44" i="21"/>
  <c r="V43" i="21"/>
  <c r="X38" i="21"/>
  <c r="X37" i="21"/>
  <c r="R32" i="21"/>
  <c r="R31" i="21"/>
  <c r="AD30" i="21"/>
  <c r="V20" i="21"/>
  <c r="V19" i="21"/>
  <c r="C33" i="21"/>
  <c r="O32" i="21"/>
  <c r="E19" i="6" s="1"/>
  <c r="M16" i="17"/>
  <c r="AB10" i="21"/>
  <c r="M10" i="21"/>
  <c r="M8" i="22"/>
  <c r="M7" i="39"/>
  <c r="N28" i="24"/>
  <c r="H10" i="21"/>
  <c r="H16" i="17"/>
  <c r="W10" i="21"/>
  <c r="H7" i="39"/>
  <c r="I28" i="24"/>
  <c r="H8" i="22"/>
  <c r="T33" i="21"/>
  <c r="R39" i="21"/>
  <c r="F139" i="31"/>
  <c r="G138" i="31" s="1"/>
  <c r="R22" i="28"/>
  <c r="C23" i="37" s="1"/>
  <c r="E23" i="37" s="1"/>
  <c r="G23" i="37" s="1"/>
  <c r="V32" i="21"/>
  <c r="V31" i="21"/>
  <c r="R20" i="21"/>
  <c r="R19" i="21"/>
  <c r="AD18" i="21"/>
  <c r="O38" i="21"/>
  <c r="E20" i="6" s="1"/>
  <c r="D48" i="21"/>
  <c r="D15" i="21"/>
  <c r="Y44" i="21"/>
  <c r="Y43" i="21"/>
  <c r="E33" i="21"/>
  <c r="O31" i="21"/>
  <c r="E21" i="21"/>
  <c r="O19" i="21"/>
  <c r="AA10" i="21"/>
  <c r="L10" i="21"/>
  <c r="L16" i="17"/>
  <c r="L8" i="22"/>
  <c r="L7" i="39"/>
  <c r="M28" i="24"/>
  <c r="AB38" i="21"/>
  <c r="AB37" i="21"/>
  <c r="T26" i="21"/>
  <c r="T25" i="21"/>
  <c r="Z20" i="21"/>
  <c r="Z19" i="21"/>
  <c r="Y10" i="21"/>
  <c r="J10" i="21"/>
  <c r="J16" i="17"/>
  <c r="J8" i="22"/>
  <c r="K28" i="24"/>
  <c r="J7" i="39"/>
  <c r="I10" i="21"/>
  <c r="I16" i="17"/>
  <c r="X10" i="21"/>
  <c r="J28" i="24"/>
  <c r="I8" i="22"/>
  <c r="I7" i="39"/>
  <c r="F33" i="21"/>
  <c r="N33" i="21"/>
  <c r="H27" i="21"/>
  <c r="F21" i="21"/>
  <c r="N21" i="21"/>
  <c r="AB45" i="21"/>
  <c r="T21" i="21"/>
  <c r="R27" i="21"/>
  <c r="C47" i="39"/>
  <c r="D31" i="5"/>
  <c r="R10" i="28"/>
  <c r="C11" i="37" s="1"/>
  <c r="E11" i="37" s="1"/>
  <c r="G11" i="37" s="1"/>
  <c r="D24" i="5"/>
  <c r="F23" i="28" l="1"/>
  <c r="F25" i="28" s="1"/>
  <c r="C37" i="22"/>
  <c r="C38" i="22" s="1"/>
  <c r="K12" i="25"/>
  <c r="O19" i="38"/>
  <c r="P33" i="17"/>
  <c r="P31" i="17" s="1"/>
  <c r="P27" i="17"/>
  <c r="P25" i="17" s="1"/>
  <c r="M12" i="25"/>
  <c r="D24" i="39"/>
  <c r="O24" i="39" s="1"/>
  <c r="Q38" i="17"/>
  <c r="G12" i="28"/>
  <c r="H8" i="28"/>
  <c r="H12" i="28" s="1"/>
  <c r="G15" i="28"/>
  <c r="G23" i="28" s="1"/>
  <c r="O50" i="39"/>
  <c r="O52" i="39"/>
  <c r="O33" i="22"/>
  <c r="C31" i="7" s="1"/>
  <c r="C52" i="6" s="1"/>
  <c r="AD38" i="21"/>
  <c r="G20" i="6" s="1"/>
  <c r="T27" i="21"/>
  <c r="G12" i="21"/>
  <c r="F13" i="21"/>
  <c r="F14" i="21"/>
  <c r="F46" i="21"/>
  <c r="AB27" i="21"/>
  <c r="Q20" i="17"/>
  <c r="Q50" i="17"/>
  <c r="F12" i="25"/>
  <c r="B48" i="21"/>
  <c r="Q26" i="17"/>
  <c r="Q32" i="17"/>
  <c r="G12" i="25"/>
  <c r="AA45" i="21"/>
  <c r="O10" i="25"/>
  <c r="B9" i="38" s="1"/>
  <c r="L12" i="25"/>
  <c r="D32" i="5"/>
  <c r="C41" i="31"/>
  <c r="D41" i="31" s="1"/>
  <c r="E41" i="31" s="1"/>
  <c r="F41" i="31" s="1"/>
  <c r="G41" i="31" s="1"/>
  <c r="H41" i="31" s="1"/>
  <c r="I41" i="31" s="1"/>
  <c r="J41" i="31" s="1"/>
  <c r="K41" i="31" s="1"/>
  <c r="L41" i="31" s="1"/>
  <c r="M41" i="31" s="1"/>
  <c r="N41" i="31" s="1"/>
  <c r="O30" i="22"/>
  <c r="C28" i="7" s="1"/>
  <c r="C49" i="6" s="1"/>
  <c r="O24" i="25"/>
  <c r="B23" i="38" s="1"/>
  <c r="AB23" i="38"/>
  <c r="D17" i="38"/>
  <c r="O53" i="39"/>
  <c r="O32" i="22"/>
  <c r="C30" i="7" s="1"/>
  <c r="C51" i="6" s="1"/>
  <c r="O23" i="38"/>
  <c r="P19" i="17"/>
  <c r="O34" i="22"/>
  <c r="C32" i="7" s="1"/>
  <c r="C53" i="6" s="1"/>
  <c r="O18" i="25"/>
  <c r="B17" i="38" s="1"/>
  <c r="O51" i="39"/>
  <c r="C14" i="6"/>
  <c r="V45" i="21"/>
  <c r="O23" i="39"/>
  <c r="T39" i="21"/>
  <c r="P43" i="17"/>
  <c r="N12" i="25"/>
  <c r="P49" i="17"/>
  <c r="E48" i="39"/>
  <c r="F117" i="31"/>
  <c r="F119" i="31" s="1"/>
  <c r="F48" i="39" s="1"/>
  <c r="E28" i="22"/>
  <c r="D33" i="5"/>
  <c r="C61" i="31"/>
  <c r="D61" i="31" s="1"/>
  <c r="E61" i="31" s="1"/>
  <c r="F61" i="31" s="1"/>
  <c r="G61" i="31" s="1"/>
  <c r="H61" i="31" s="1"/>
  <c r="I61" i="31" s="1"/>
  <c r="J61" i="31" s="1"/>
  <c r="K61" i="31" s="1"/>
  <c r="L61" i="31" s="1"/>
  <c r="M61" i="31" s="1"/>
  <c r="N61" i="31" s="1"/>
  <c r="W19" i="38"/>
  <c r="O15" i="39"/>
  <c r="B15" i="21"/>
  <c r="O55" i="17"/>
  <c r="E43" i="6"/>
  <c r="Z19" i="38"/>
  <c r="G27" i="6"/>
  <c r="G23" i="7"/>
  <c r="G147" i="31"/>
  <c r="G6" i="38"/>
  <c r="T6" i="38" s="1"/>
  <c r="G7" i="25"/>
  <c r="G13" i="31"/>
  <c r="G73" i="31"/>
  <c r="G115" i="31"/>
  <c r="G33" i="31"/>
  <c r="G53" i="31"/>
  <c r="G93" i="31"/>
  <c r="G136" i="31"/>
  <c r="J14" i="28"/>
  <c r="C101" i="31"/>
  <c r="D101" i="31" s="1"/>
  <c r="E101" i="31" s="1"/>
  <c r="F101" i="31" s="1"/>
  <c r="G101" i="31" s="1"/>
  <c r="H101" i="31" s="1"/>
  <c r="I101" i="31" s="1"/>
  <c r="J101" i="31" s="1"/>
  <c r="K101" i="31" s="1"/>
  <c r="L101" i="31" s="1"/>
  <c r="M101" i="31" s="1"/>
  <c r="N101" i="31" s="1"/>
  <c r="D35" i="5"/>
  <c r="O36" i="22"/>
  <c r="C34" i="7" s="1"/>
  <c r="T19" i="38"/>
  <c r="AD26" i="21"/>
  <c r="G18" i="6" s="1"/>
  <c r="Q19" i="38"/>
  <c r="X19" i="38"/>
  <c r="P19" i="38"/>
  <c r="U19" i="38"/>
  <c r="D147" i="31"/>
  <c r="D7" i="25"/>
  <c r="D33" i="31"/>
  <c r="D13" i="31"/>
  <c r="D53" i="31"/>
  <c r="D73" i="31"/>
  <c r="G14" i="28"/>
  <c r="D136" i="31"/>
  <c r="D6" i="38"/>
  <c r="Q6" i="38" s="1"/>
  <c r="D115" i="31"/>
  <c r="D93" i="31"/>
  <c r="D34" i="5"/>
  <c r="C81" i="31"/>
  <c r="D81" i="31" s="1"/>
  <c r="E81" i="31" s="1"/>
  <c r="F81" i="31" s="1"/>
  <c r="G81" i="31" s="1"/>
  <c r="H81" i="31" s="1"/>
  <c r="I81" i="31" s="1"/>
  <c r="J81" i="31" s="1"/>
  <c r="K81" i="31" s="1"/>
  <c r="L81" i="31" s="1"/>
  <c r="M81" i="31" s="1"/>
  <c r="N81" i="31" s="1"/>
  <c r="R17" i="28"/>
  <c r="C18" i="37" s="1"/>
  <c r="E18" i="37" s="1"/>
  <c r="G18" i="37" s="1"/>
  <c r="G43" i="6"/>
  <c r="Y19" i="38"/>
  <c r="O56" i="39"/>
  <c r="S19" i="38"/>
  <c r="AA19" i="38"/>
  <c r="V19" i="38"/>
  <c r="R19" i="38"/>
  <c r="B47" i="21"/>
  <c r="Q43" i="17"/>
  <c r="Q25" i="17"/>
  <c r="Q37" i="17"/>
  <c r="C55" i="6"/>
  <c r="Q19" i="17"/>
  <c r="Q31" i="17"/>
  <c r="Q49" i="17"/>
  <c r="O31" i="22"/>
  <c r="C29" i="7" s="1"/>
  <c r="C50" i="6" s="1"/>
  <c r="O11" i="25"/>
  <c r="B10" i="38" s="1"/>
  <c r="K147" i="31"/>
  <c r="K115" i="31"/>
  <c r="K73" i="31"/>
  <c r="K136" i="31"/>
  <c r="K13" i="31"/>
  <c r="K33" i="31"/>
  <c r="K53" i="31"/>
  <c r="N14" i="28"/>
  <c r="K6" i="38"/>
  <c r="X6" i="38" s="1"/>
  <c r="K93" i="31"/>
  <c r="K7" i="25"/>
  <c r="O21" i="21"/>
  <c r="P21" i="21" s="1"/>
  <c r="O45" i="21"/>
  <c r="AD25" i="21"/>
  <c r="I147" i="31"/>
  <c r="I136" i="31"/>
  <c r="I53" i="31"/>
  <c r="I7" i="25"/>
  <c r="I6" i="38"/>
  <c r="V6" i="38" s="1"/>
  <c r="I33" i="31"/>
  <c r="I13" i="31"/>
  <c r="I115" i="31"/>
  <c r="I73" i="31"/>
  <c r="L14" i="28"/>
  <c r="I93" i="31"/>
  <c r="E9" i="6"/>
  <c r="P20" i="21"/>
  <c r="R21" i="21"/>
  <c r="AD19" i="21"/>
  <c r="O33" i="21"/>
  <c r="V21" i="21"/>
  <c r="AD32" i="21"/>
  <c r="G19" i="6" s="1"/>
  <c r="X27" i="21"/>
  <c r="E17" i="38"/>
  <c r="I14" i="28"/>
  <c r="F53" i="31"/>
  <c r="F115" i="31"/>
  <c r="F73" i="31"/>
  <c r="F147" i="31"/>
  <c r="F93" i="31"/>
  <c r="F136" i="31"/>
  <c r="F13" i="31"/>
  <c r="F33" i="31"/>
  <c r="F6" i="38"/>
  <c r="S6" i="38" s="1"/>
  <c r="F7" i="25"/>
  <c r="C49" i="21"/>
  <c r="E10" i="38"/>
  <c r="C9" i="38"/>
  <c r="C11" i="38" s="1"/>
  <c r="D10" i="38"/>
  <c r="P45" i="21"/>
  <c r="E13" i="6"/>
  <c r="P44" i="21"/>
  <c r="R33" i="21"/>
  <c r="AD31" i="21"/>
  <c r="D150" i="31"/>
  <c r="E149" i="31" s="1"/>
  <c r="D47" i="39"/>
  <c r="F10" i="38"/>
  <c r="D9" i="38"/>
  <c r="D49" i="21"/>
  <c r="N147" i="31"/>
  <c r="N136" i="31"/>
  <c r="N115" i="31"/>
  <c r="N53" i="31"/>
  <c r="N13" i="31"/>
  <c r="N33" i="31"/>
  <c r="N93" i="31"/>
  <c r="N7" i="25"/>
  <c r="N73" i="31"/>
  <c r="N6" i="38"/>
  <c r="AA6" i="38" s="1"/>
  <c r="Q14" i="28"/>
  <c r="E147" i="31"/>
  <c r="E6" i="38"/>
  <c r="R6" i="38" s="1"/>
  <c r="E13" i="31"/>
  <c r="E115" i="31"/>
  <c r="E136" i="31"/>
  <c r="H14" i="28"/>
  <c r="E73" i="31"/>
  <c r="E7" i="25"/>
  <c r="E93" i="31"/>
  <c r="E53" i="31"/>
  <c r="E33" i="31"/>
  <c r="AD44" i="21"/>
  <c r="G21" i="6" s="1"/>
  <c r="E31" i="5"/>
  <c r="C25" i="31"/>
  <c r="D25" i="31" s="1"/>
  <c r="E25" i="31" s="1"/>
  <c r="F25" i="31" s="1"/>
  <c r="G25" i="31" s="1"/>
  <c r="H25" i="31" s="1"/>
  <c r="I25" i="31" s="1"/>
  <c r="J25" i="31" s="1"/>
  <c r="K25" i="31" s="1"/>
  <c r="L25" i="31" s="1"/>
  <c r="M25" i="31" s="1"/>
  <c r="N25" i="31" s="1"/>
  <c r="F31" i="5" s="1"/>
  <c r="J147" i="31"/>
  <c r="J136" i="31"/>
  <c r="J33" i="31"/>
  <c r="J115" i="31"/>
  <c r="J73" i="31"/>
  <c r="J13" i="31"/>
  <c r="J7" i="25"/>
  <c r="J6" i="38"/>
  <c r="W6" i="38" s="1"/>
  <c r="J93" i="31"/>
  <c r="J53" i="31"/>
  <c r="M14" i="28"/>
  <c r="Y45" i="21"/>
  <c r="AD20" i="21"/>
  <c r="G17" i="6" s="1"/>
  <c r="X39" i="21"/>
  <c r="C115" i="31"/>
  <c r="C93" i="31"/>
  <c r="C13" i="31"/>
  <c r="C7" i="25"/>
  <c r="C33" i="31"/>
  <c r="C147" i="31"/>
  <c r="F14" i="28"/>
  <c r="C136" i="31"/>
  <c r="C73" i="31"/>
  <c r="C6" i="38"/>
  <c r="P6" i="38" s="1"/>
  <c r="C53" i="31"/>
  <c r="P39" i="21"/>
  <c r="P38" i="21"/>
  <c r="E12" i="6"/>
  <c r="C21" i="25"/>
  <c r="C25" i="39"/>
  <c r="E49" i="21"/>
  <c r="E9" i="38"/>
  <c r="Z33" i="21"/>
  <c r="C17" i="38"/>
  <c r="E10" i="6"/>
  <c r="P26" i="21"/>
  <c r="G117" i="31"/>
  <c r="C57" i="39"/>
  <c r="L147" i="31"/>
  <c r="L93" i="31"/>
  <c r="L7" i="25"/>
  <c r="L136" i="31"/>
  <c r="L13" i="31"/>
  <c r="O14" i="28"/>
  <c r="L33" i="31"/>
  <c r="L73" i="31"/>
  <c r="L53" i="31"/>
  <c r="L115" i="31"/>
  <c r="L6" i="38"/>
  <c r="Y6" i="38" s="1"/>
  <c r="H147" i="31"/>
  <c r="H136" i="31"/>
  <c r="H115" i="31"/>
  <c r="H13" i="31"/>
  <c r="H33" i="31"/>
  <c r="H73" i="31"/>
  <c r="H53" i="31"/>
  <c r="H6" i="38"/>
  <c r="U6" i="38" s="1"/>
  <c r="K14" i="28"/>
  <c r="H93" i="31"/>
  <c r="H7" i="25"/>
  <c r="C45" i="31"/>
  <c r="D45" i="31" s="1"/>
  <c r="E45" i="31" s="1"/>
  <c r="F45" i="31" s="1"/>
  <c r="G45" i="31" s="1"/>
  <c r="H45" i="31" s="1"/>
  <c r="I45" i="31" s="1"/>
  <c r="J45" i="31" s="1"/>
  <c r="K45" i="31" s="1"/>
  <c r="L45" i="31" s="1"/>
  <c r="M45" i="31" s="1"/>
  <c r="N45" i="31" s="1"/>
  <c r="F32" i="5" s="1"/>
  <c r="E32" i="5"/>
  <c r="H15" i="28"/>
  <c r="I8" i="28"/>
  <c r="H16" i="28"/>
  <c r="Z21" i="21"/>
  <c r="AB39" i="21"/>
  <c r="E11" i="6"/>
  <c r="P32" i="21"/>
  <c r="P33" i="21"/>
  <c r="V33" i="21"/>
  <c r="G139" i="31"/>
  <c r="H138" i="31" s="1"/>
  <c r="AD37" i="21"/>
  <c r="M147" i="31"/>
  <c r="M115" i="31"/>
  <c r="M7" i="25"/>
  <c r="M53" i="31"/>
  <c r="M13" i="31"/>
  <c r="M6" i="38"/>
  <c r="Z6" i="38" s="1"/>
  <c r="M33" i="31"/>
  <c r="M73" i="31"/>
  <c r="M136" i="31"/>
  <c r="P14" i="28"/>
  <c r="M93" i="31"/>
  <c r="U45" i="21"/>
  <c r="O39" i="21"/>
  <c r="AD43" i="21"/>
  <c r="R45" i="21"/>
  <c r="O27" i="21"/>
  <c r="P27" i="21" s="1"/>
  <c r="G25" i="28" l="1"/>
  <c r="D25" i="39" s="1"/>
  <c r="D45" i="39" s="1"/>
  <c r="F28" i="22"/>
  <c r="O12" i="25"/>
  <c r="D10" i="5" s="1"/>
  <c r="F48" i="21"/>
  <c r="F15" i="21"/>
  <c r="F47" i="21"/>
  <c r="H12" i="21"/>
  <c r="G14" i="21"/>
  <c r="G48" i="21" s="1"/>
  <c r="G13" i="21"/>
  <c r="G46" i="21"/>
  <c r="AD27" i="21"/>
  <c r="AD39" i="21"/>
  <c r="D22" i="6"/>
  <c r="D43" i="6"/>
  <c r="E11" i="38"/>
  <c r="P31" i="21"/>
  <c r="D21" i="25"/>
  <c r="D11" i="38"/>
  <c r="D30" i="5"/>
  <c r="C23" i="6"/>
  <c r="C9" i="26" s="1"/>
  <c r="C10" i="26"/>
  <c r="C16" i="27"/>
  <c r="H23" i="28"/>
  <c r="H25" i="28" s="1"/>
  <c r="AB19" i="38"/>
  <c r="C22" i="36"/>
  <c r="D22" i="36" s="1"/>
  <c r="AD45" i="21"/>
  <c r="E33" i="5"/>
  <c r="C65" i="31"/>
  <c r="D65" i="31" s="1"/>
  <c r="E65" i="31" s="1"/>
  <c r="F65" i="31" s="1"/>
  <c r="G65" i="31" s="1"/>
  <c r="H65" i="31" s="1"/>
  <c r="I65" i="31" s="1"/>
  <c r="J65" i="31" s="1"/>
  <c r="K65" i="31" s="1"/>
  <c r="L65" i="31" s="1"/>
  <c r="M65" i="31" s="1"/>
  <c r="N65" i="31" s="1"/>
  <c r="F33" i="5" s="1"/>
  <c r="E35" i="5"/>
  <c r="C105" i="31"/>
  <c r="D105" i="31" s="1"/>
  <c r="E105" i="31" s="1"/>
  <c r="F105" i="31" s="1"/>
  <c r="G105" i="31" s="1"/>
  <c r="H105" i="31" s="1"/>
  <c r="I105" i="31" s="1"/>
  <c r="J105" i="31" s="1"/>
  <c r="K105" i="31" s="1"/>
  <c r="L105" i="31" s="1"/>
  <c r="M105" i="31" s="1"/>
  <c r="N105" i="31" s="1"/>
  <c r="F35" i="5" s="1"/>
  <c r="Q45" i="17"/>
  <c r="Q39" i="17"/>
  <c r="Q27" i="17"/>
  <c r="Q33" i="17"/>
  <c r="Q51" i="17"/>
  <c r="Q21" i="17"/>
  <c r="B49" i="21"/>
  <c r="P43" i="21"/>
  <c r="P19" i="21"/>
  <c r="E34" i="5"/>
  <c r="C85" i="31"/>
  <c r="D85" i="31" s="1"/>
  <c r="E85" i="31" s="1"/>
  <c r="F85" i="31" s="1"/>
  <c r="G85" i="31" s="1"/>
  <c r="H85" i="31" s="1"/>
  <c r="I85" i="31" s="1"/>
  <c r="J85" i="31" s="1"/>
  <c r="K85" i="31" s="1"/>
  <c r="L85" i="31" s="1"/>
  <c r="M85" i="31" s="1"/>
  <c r="N85" i="31" s="1"/>
  <c r="F34" i="5" s="1"/>
  <c r="G13" i="6"/>
  <c r="AE45" i="21"/>
  <c r="AE44" i="21"/>
  <c r="G12" i="6"/>
  <c r="AE39" i="21"/>
  <c r="AE38" i="21"/>
  <c r="I15" i="28"/>
  <c r="I12" i="28"/>
  <c r="I16" i="28"/>
  <c r="J8" i="28"/>
  <c r="AD33" i="21"/>
  <c r="C58" i="39"/>
  <c r="C29" i="25"/>
  <c r="C30" i="25" s="1"/>
  <c r="C31" i="25" s="1"/>
  <c r="G119" i="31"/>
  <c r="P25" i="21"/>
  <c r="E150" i="31"/>
  <c r="F149" i="31" s="1"/>
  <c r="E47" i="39"/>
  <c r="AE20" i="21"/>
  <c r="G9" i="6"/>
  <c r="AE26" i="21"/>
  <c r="G10" i="6"/>
  <c r="AE27" i="21"/>
  <c r="H139" i="31"/>
  <c r="I138" i="31" s="1"/>
  <c r="P37" i="21"/>
  <c r="AE32" i="21"/>
  <c r="AE33" i="21"/>
  <c r="G11" i="6"/>
  <c r="C45" i="39"/>
  <c r="AD21" i="21"/>
  <c r="AE21" i="21" s="1"/>
  <c r="G17" i="38" l="1"/>
  <c r="B11" i="38"/>
  <c r="C29" i="36"/>
  <c r="D29" i="36" s="1"/>
  <c r="C24" i="27"/>
  <c r="C11" i="26"/>
  <c r="C17" i="27" s="1"/>
  <c r="D23" i="6"/>
  <c r="G15" i="21"/>
  <c r="G47" i="21"/>
  <c r="H10" i="38" s="1"/>
  <c r="G10" i="38"/>
  <c r="F9" i="38"/>
  <c r="F49" i="21"/>
  <c r="I12" i="21"/>
  <c r="H14" i="21"/>
  <c r="H48" i="21" s="1"/>
  <c r="H17" i="38" s="1"/>
  <c r="H46" i="21"/>
  <c r="H13" i="21"/>
  <c r="F17" i="38"/>
  <c r="AE19" i="21"/>
  <c r="C64" i="39"/>
  <c r="C65" i="39" s="1"/>
  <c r="AE25" i="21"/>
  <c r="H117" i="31"/>
  <c r="G28" i="22"/>
  <c r="G48" i="39"/>
  <c r="AE31" i="21"/>
  <c r="F150" i="31"/>
  <c r="G149" i="31" s="1"/>
  <c r="F47" i="39"/>
  <c r="E21" i="25"/>
  <c r="E25" i="39"/>
  <c r="C32" i="25"/>
  <c r="C34" i="25" s="1"/>
  <c r="D26" i="25" s="1"/>
  <c r="I23" i="28"/>
  <c r="I25" i="28" s="1"/>
  <c r="AE43" i="21"/>
  <c r="I139" i="31"/>
  <c r="J138" i="31" s="1"/>
  <c r="C25" i="27"/>
  <c r="J15" i="28"/>
  <c r="J12" i="28"/>
  <c r="K8" i="28"/>
  <c r="J16" i="28"/>
  <c r="AE37" i="21"/>
  <c r="C17" i="26" l="1"/>
  <c r="C19" i="36"/>
  <c r="D19" i="36" s="1"/>
  <c r="H15" i="21"/>
  <c r="H47" i="21"/>
  <c r="I10" i="38" s="1"/>
  <c r="F11" i="38"/>
  <c r="J12" i="21"/>
  <c r="I46" i="21"/>
  <c r="I13" i="21"/>
  <c r="I14" i="21"/>
  <c r="I48" i="21" s="1"/>
  <c r="I17" i="38" s="1"/>
  <c r="G9" i="38"/>
  <c r="G11" i="38" s="1"/>
  <c r="G49" i="21"/>
  <c r="C33" i="25"/>
  <c r="D8" i="25" s="1"/>
  <c r="F25" i="39"/>
  <c r="F45" i="39" s="1"/>
  <c r="F21" i="25"/>
  <c r="D55" i="39"/>
  <c r="D35" i="22"/>
  <c r="D37" i="22" s="1"/>
  <c r="D38" i="22" s="1"/>
  <c r="D29" i="25"/>
  <c r="D30" i="25" s="1"/>
  <c r="E45" i="39"/>
  <c r="G150" i="31"/>
  <c r="H149" i="31" s="1"/>
  <c r="G47" i="39"/>
  <c r="H119" i="31"/>
  <c r="J23" i="28"/>
  <c r="J25" i="28" s="1"/>
  <c r="K16" i="28"/>
  <c r="L8" i="28"/>
  <c r="K12" i="28"/>
  <c r="K15" i="28"/>
  <c r="J139" i="31"/>
  <c r="K138" i="31" s="1"/>
  <c r="C59" i="39"/>
  <c r="C60" i="39" s="1"/>
  <c r="I47" i="21" l="1"/>
  <c r="J10" i="38" s="1"/>
  <c r="I15" i="21"/>
  <c r="H49" i="21"/>
  <c r="H9" i="38"/>
  <c r="H11" i="38" s="1"/>
  <c r="K12" i="21"/>
  <c r="J14" i="21"/>
  <c r="J48" i="21" s="1"/>
  <c r="J17" i="38" s="1"/>
  <c r="J13" i="21"/>
  <c r="J46" i="21"/>
  <c r="D31" i="25"/>
  <c r="D32" i="25" s="1"/>
  <c r="D33" i="25" s="1"/>
  <c r="E8" i="25" s="1"/>
  <c r="I117" i="31"/>
  <c r="H48" i="39"/>
  <c r="H28" i="22"/>
  <c r="G25" i="39"/>
  <c r="G21" i="25"/>
  <c r="K23" i="28"/>
  <c r="K25" i="28" s="1"/>
  <c r="K139" i="31"/>
  <c r="L138" i="31" s="1"/>
  <c r="H150" i="31"/>
  <c r="I149" i="31" s="1"/>
  <c r="H47" i="39"/>
  <c r="L15" i="28"/>
  <c r="L16" i="28"/>
  <c r="L12" i="28"/>
  <c r="M8" i="28"/>
  <c r="D57" i="39"/>
  <c r="D58" i="39" s="1"/>
  <c r="D64" i="39"/>
  <c r="D65" i="39" s="1"/>
  <c r="L12" i="21" l="1"/>
  <c r="K14" i="21"/>
  <c r="K46" i="21"/>
  <c r="K13" i="21"/>
  <c r="I9" i="38"/>
  <c r="I11" i="38" s="1"/>
  <c r="I49" i="21"/>
  <c r="J15" i="21"/>
  <c r="J47" i="21"/>
  <c r="D34" i="25"/>
  <c r="E26" i="25" s="1"/>
  <c r="E55" i="39" s="1"/>
  <c r="H21" i="25"/>
  <c r="H25" i="39"/>
  <c r="H45" i="39" s="1"/>
  <c r="D59" i="39"/>
  <c r="L23" i="28"/>
  <c r="L25" i="28" s="1"/>
  <c r="G45" i="39"/>
  <c r="I119" i="31"/>
  <c r="L139" i="31"/>
  <c r="M138" i="31" s="1"/>
  <c r="I150" i="31"/>
  <c r="J149" i="31" s="1"/>
  <c r="I47" i="39"/>
  <c r="M16" i="28"/>
  <c r="M15" i="28"/>
  <c r="N8" i="28"/>
  <c r="M12" i="28"/>
  <c r="K15" i="21" l="1"/>
  <c r="K47" i="21"/>
  <c r="L10" i="38" s="1"/>
  <c r="M12" i="21"/>
  <c r="L13" i="21"/>
  <c r="L46" i="21"/>
  <c r="L14" i="21"/>
  <c r="L48" i="21" s="1"/>
  <c r="K48" i="21"/>
  <c r="J9" i="38"/>
  <c r="J49" i="21"/>
  <c r="K10" i="38"/>
  <c r="E35" i="22"/>
  <c r="E37" i="22" s="1"/>
  <c r="E38" i="22" s="1"/>
  <c r="M23" i="28"/>
  <c r="M25" i="28" s="1"/>
  <c r="I28" i="22"/>
  <c r="J117" i="31"/>
  <c r="I48" i="39"/>
  <c r="D60" i="39"/>
  <c r="I21" i="25"/>
  <c r="I25" i="39"/>
  <c r="E57" i="39"/>
  <c r="E58" i="39" s="1"/>
  <c r="E64" i="39"/>
  <c r="E65" i="39" s="1"/>
  <c r="E59" i="39" s="1"/>
  <c r="E22" i="25" s="1"/>
  <c r="E29" i="25" s="1"/>
  <c r="E30" i="25" s="1"/>
  <c r="J150" i="31"/>
  <c r="K149" i="31" s="1"/>
  <c r="J47" i="39"/>
  <c r="N15" i="28"/>
  <c r="O8" i="28"/>
  <c r="N12" i="28"/>
  <c r="N16" i="28"/>
  <c r="M139" i="31"/>
  <c r="N138" i="31" s="1"/>
  <c r="K17" i="38" l="1"/>
  <c r="J11" i="38"/>
  <c r="L17" i="38"/>
  <c r="L15" i="21"/>
  <c r="L47" i="21"/>
  <c r="M10" i="38" s="1"/>
  <c r="K9" i="38"/>
  <c r="K11" i="38" s="1"/>
  <c r="K49" i="21"/>
  <c r="N12" i="21"/>
  <c r="R12" i="21" s="1"/>
  <c r="M46" i="21"/>
  <c r="M13" i="21"/>
  <c r="M14" i="21"/>
  <c r="M48" i="21" s="1"/>
  <c r="M17" i="38" s="1"/>
  <c r="N23" i="28"/>
  <c r="N25" i="28" s="1"/>
  <c r="P8" i="28"/>
  <c r="O16" i="28"/>
  <c r="O12" i="28"/>
  <c r="O15" i="28"/>
  <c r="K150" i="31"/>
  <c r="L149" i="31" s="1"/>
  <c r="K47" i="39"/>
  <c r="I45" i="39"/>
  <c r="J119" i="31"/>
  <c r="N139" i="31"/>
  <c r="C141" i="31" s="1"/>
  <c r="O138" i="31"/>
  <c r="J21" i="25"/>
  <c r="J25" i="39"/>
  <c r="J45" i="39" s="1"/>
  <c r="E60" i="39"/>
  <c r="E31" i="25"/>
  <c r="S12" i="21" l="1"/>
  <c r="R14" i="21"/>
  <c r="R48" i="21" s="1"/>
  <c r="R13" i="21"/>
  <c r="R46" i="21"/>
  <c r="M15" i="21"/>
  <c r="M47" i="21"/>
  <c r="N10" i="38" s="1"/>
  <c r="O10" i="38" s="1"/>
  <c r="L49" i="21"/>
  <c r="L9" i="38"/>
  <c r="L11" i="38" s="1"/>
  <c r="N14" i="21"/>
  <c r="N46" i="21"/>
  <c r="O46" i="21" s="1"/>
  <c r="N13" i="21"/>
  <c r="O12" i="21"/>
  <c r="K25" i="39"/>
  <c r="K45" i="39" s="1"/>
  <c r="K21" i="25"/>
  <c r="O23" i="28"/>
  <c r="O25" i="28" s="1"/>
  <c r="J48" i="39"/>
  <c r="J28" i="22"/>
  <c r="K117" i="31"/>
  <c r="K119" i="31" s="1"/>
  <c r="C142" i="31"/>
  <c r="D141" i="31" s="1"/>
  <c r="D142" i="31" s="1"/>
  <c r="E141" i="31" s="1"/>
  <c r="E142" i="31" s="1"/>
  <c r="F141" i="31" s="1"/>
  <c r="F142" i="31" s="1"/>
  <c r="G141" i="31" s="1"/>
  <c r="G142" i="31" s="1"/>
  <c r="H141" i="31" s="1"/>
  <c r="H142" i="31" s="1"/>
  <c r="I141" i="31" s="1"/>
  <c r="I142" i="31" s="1"/>
  <c r="J141" i="31" s="1"/>
  <c r="J142" i="31" s="1"/>
  <c r="K141" i="31" s="1"/>
  <c r="K142" i="31" s="1"/>
  <c r="L141" i="31" s="1"/>
  <c r="L142" i="31" s="1"/>
  <c r="M141" i="31" s="1"/>
  <c r="M142" i="31" s="1"/>
  <c r="N141" i="31" s="1"/>
  <c r="N142" i="31" s="1"/>
  <c r="C144" i="31" s="1"/>
  <c r="L150" i="31"/>
  <c r="M149" i="31" s="1"/>
  <c r="L47" i="39"/>
  <c r="P15" i="28"/>
  <c r="Q8" i="28"/>
  <c r="P16" i="28"/>
  <c r="P12" i="28"/>
  <c r="E32" i="25"/>
  <c r="E33" i="25" s="1"/>
  <c r="F8" i="25" s="1"/>
  <c r="P23" i="28" l="1"/>
  <c r="R15" i="21"/>
  <c r="R47" i="21"/>
  <c r="T12" i="21"/>
  <c r="S13" i="21"/>
  <c r="S14" i="21"/>
  <c r="S48" i="21" s="1"/>
  <c r="S46" i="21"/>
  <c r="M49" i="21"/>
  <c r="M9" i="38"/>
  <c r="M11" i="38" s="1"/>
  <c r="Q12" i="21"/>
  <c r="Q42" i="21"/>
  <c r="Q36" i="21"/>
  <c r="Q30" i="21"/>
  <c r="Q24" i="21"/>
  <c r="Q18" i="21"/>
  <c r="N48" i="21"/>
  <c r="O14" i="21"/>
  <c r="E16" i="6" s="1"/>
  <c r="E22" i="6" s="1"/>
  <c r="D26" i="27" s="1"/>
  <c r="N47" i="21"/>
  <c r="P10" i="38" s="1"/>
  <c r="N15" i="21"/>
  <c r="O15" i="21" s="1"/>
  <c r="O49" i="21" s="1"/>
  <c r="O13" i="21"/>
  <c r="P25" i="28"/>
  <c r="Q16" i="28"/>
  <c r="R16" i="28" s="1"/>
  <c r="C17" i="37" s="1"/>
  <c r="E17" i="37" s="1"/>
  <c r="G17" i="37" s="1"/>
  <c r="Q15" i="28"/>
  <c r="Q12" i="28"/>
  <c r="R8" i="28"/>
  <c r="O141" i="31"/>
  <c r="C145" i="31"/>
  <c r="D144" i="31" s="1"/>
  <c r="D145" i="31" s="1"/>
  <c r="E144" i="31" s="1"/>
  <c r="E145" i="31" s="1"/>
  <c r="F144" i="31" s="1"/>
  <c r="F145" i="31" s="1"/>
  <c r="G144" i="31" s="1"/>
  <c r="G145" i="31" s="1"/>
  <c r="H144" i="31" s="1"/>
  <c r="H145" i="31" s="1"/>
  <c r="I144" i="31" s="1"/>
  <c r="I145" i="31" s="1"/>
  <c r="J144" i="31" s="1"/>
  <c r="J145" i="31" s="1"/>
  <c r="K144" i="31" s="1"/>
  <c r="K145" i="31" s="1"/>
  <c r="L144" i="31" s="1"/>
  <c r="L145" i="31" s="1"/>
  <c r="M144" i="31" s="1"/>
  <c r="M145" i="31" s="1"/>
  <c r="N144" i="31" s="1"/>
  <c r="N145" i="31" s="1"/>
  <c r="M21" i="25"/>
  <c r="M25" i="39"/>
  <c r="M45" i="39" s="1"/>
  <c r="M150" i="31"/>
  <c r="N149" i="31" s="1"/>
  <c r="M47" i="39"/>
  <c r="K48" i="39"/>
  <c r="L117" i="31"/>
  <c r="L119" i="31" s="1"/>
  <c r="K28" i="22"/>
  <c r="L21" i="25"/>
  <c r="L25" i="39"/>
  <c r="L45" i="39" s="1"/>
  <c r="E34" i="25"/>
  <c r="F26" i="25" s="1"/>
  <c r="U12" i="21" l="1"/>
  <c r="T14" i="21"/>
  <c r="T48" i="21" s="1"/>
  <c r="R17" i="38" s="1"/>
  <c r="T46" i="21"/>
  <c r="T13" i="21"/>
  <c r="R49" i="21"/>
  <c r="P9" i="38"/>
  <c r="P11" i="38" s="1"/>
  <c r="S15" i="21"/>
  <c r="S47" i="21"/>
  <c r="N17" i="38"/>
  <c r="O17" i="38" s="1"/>
  <c r="E30" i="5" s="1"/>
  <c r="Q17" i="38"/>
  <c r="P17" i="38"/>
  <c r="O48" i="21"/>
  <c r="Q21" i="21"/>
  <c r="Q45" i="21"/>
  <c r="Q15" i="21"/>
  <c r="Q27" i="21"/>
  <c r="Q33" i="21"/>
  <c r="Q39" i="21"/>
  <c r="E8" i="6"/>
  <c r="E14" i="6" s="1"/>
  <c r="D15" i="27" s="1"/>
  <c r="P15" i="21"/>
  <c r="P14" i="21"/>
  <c r="N9" i="38"/>
  <c r="N49" i="21"/>
  <c r="Q10" i="38"/>
  <c r="O47" i="21"/>
  <c r="C9" i="37"/>
  <c r="C22" i="27" s="1"/>
  <c r="R12" i="28"/>
  <c r="C20" i="36"/>
  <c r="D20" i="36" s="1"/>
  <c r="N150" i="31"/>
  <c r="C152" i="31" s="1"/>
  <c r="O149" i="31"/>
  <c r="C46" i="6" s="1"/>
  <c r="N47" i="39"/>
  <c r="O47" i="39" s="1"/>
  <c r="O144" i="31"/>
  <c r="Q23" i="28"/>
  <c r="Q25" i="28" s="1"/>
  <c r="R15" i="28"/>
  <c r="M117" i="31"/>
  <c r="M119" i="31" s="1"/>
  <c r="L28" i="22"/>
  <c r="L48" i="39"/>
  <c r="F29" i="25"/>
  <c r="F35" i="22"/>
  <c r="F55" i="39"/>
  <c r="F64" i="39" s="1"/>
  <c r="T15" i="21" l="1"/>
  <c r="T47" i="21"/>
  <c r="S49" i="21"/>
  <c r="Q9" i="38"/>
  <c r="Q11" i="38" s="1"/>
  <c r="R10" i="38"/>
  <c r="V12" i="21"/>
  <c r="U13" i="21"/>
  <c r="U14" i="21"/>
  <c r="U46" i="21"/>
  <c r="D22" i="27"/>
  <c r="F22" i="6"/>
  <c r="F43" i="6"/>
  <c r="D16" i="27"/>
  <c r="E23" i="6"/>
  <c r="D17" i="27" s="1"/>
  <c r="Q44" i="21"/>
  <c r="Q38" i="21"/>
  <c r="Q14" i="21"/>
  <c r="Q32" i="21"/>
  <c r="Q26" i="21"/>
  <c r="Q20" i="21"/>
  <c r="Q13" i="21"/>
  <c r="Q19" i="21"/>
  <c r="Q43" i="21"/>
  <c r="Q31" i="21"/>
  <c r="E55" i="6"/>
  <c r="Q37" i="21"/>
  <c r="Q25" i="21"/>
  <c r="N11" i="38"/>
  <c r="O9" i="38"/>
  <c r="O11" i="38" s="1"/>
  <c r="P13" i="21"/>
  <c r="N21" i="25"/>
  <c r="O21" i="25" s="1"/>
  <c r="B20" i="38" s="1"/>
  <c r="N25" i="39"/>
  <c r="N117" i="31"/>
  <c r="M28" i="22"/>
  <c r="M48" i="39"/>
  <c r="R23" i="28"/>
  <c r="R25" i="28" s="1"/>
  <c r="C16" i="37"/>
  <c r="E9" i="37"/>
  <c r="C13" i="37"/>
  <c r="C153" i="31"/>
  <c r="D152" i="31" s="1"/>
  <c r="D153" i="31" s="1"/>
  <c r="E152" i="31" s="1"/>
  <c r="E153" i="31" s="1"/>
  <c r="F152" i="31" s="1"/>
  <c r="F153" i="31" s="1"/>
  <c r="G152" i="31" s="1"/>
  <c r="G153" i="31" s="1"/>
  <c r="H152" i="31" s="1"/>
  <c r="H153" i="31" s="1"/>
  <c r="I152" i="31" s="1"/>
  <c r="I153" i="31" s="1"/>
  <c r="J152" i="31" s="1"/>
  <c r="J153" i="31" s="1"/>
  <c r="K152" i="31" s="1"/>
  <c r="K153" i="31" s="1"/>
  <c r="L152" i="31" s="1"/>
  <c r="L153" i="31" s="1"/>
  <c r="M152" i="31" s="1"/>
  <c r="M153" i="31" s="1"/>
  <c r="N152" i="31" s="1"/>
  <c r="N153" i="31" s="1"/>
  <c r="C155" i="31" s="1"/>
  <c r="F57" i="39"/>
  <c r="F65" i="39"/>
  <c r="F37" i="22"/>
  <c r="F30" i="25"/>
  <c r="F23" i="6" l="1"/>
  <c r="U15" i="21"/>
  <c r="U47" i="21"/>
  <c r="T10" i="38" s="1"/>
  <c r="W12" i="21"/>
  <c r="V13" i="21"/>
  <c r="V14" i="21"/>
  <c r="V48" i="21" s="1"/>
  <c r="V46" i="21"/>
  <c r="S10" i="38"/>
  <c r="R9" i="38"/>
  <c r="R11" i="38" s="1"/>
  <c r="T49" i="21"/>
  <c r="U48" i="21"/>
  <c r="E10" i="5"/>
  <c r="D24" i="27" s="1"/>
  <c r="C13" i="26"/>
  <c r="C24" i="6"/>
  <c r="C44" i="6" s="1"/>
  <c r="D44" i="6" s="1"/>
  <c r="C156" i="31"/>
  <c r="D155" i="31" s="1"/>
  <c r="D156" i="31" s="1"/>
  <c r="E155" i="31" s="1"/>
  <c r="E156" i="31" s="1"/>
  <c r="F155" i="31" s="1"/>
  <c r="F156" i="31" s="1"/>
  <c r="G155" i="31" s="1"/>
  <c r="G156" i="31" s="1"/>
  <c r="H155" i="31" s="1"/>
  <c r="H156" i="31" s="1"/>
  <c r="I155" i="31" s="1"/>
  <c r="I156" i="31" s="1"/>
  <c r="J155" i="31" s="1"/>
  <c r="J156" i="31" s="1"/>
  <c r="K155" i="31" s="1"/>
  <c r="K156" i="31" s="1"/>
  <c r="L155" i="31" s="1"/>
  <c r="L156" i="31" s="1"/>
  <c r="M155" i="31" s="1"/>
  <c r="M156" i="31" s="1"/>
  <c r="N155" i="31" s="1"/>
  <c r="N156" i="31" s="1"/>
  <c r="G9" i="37"/>
  <c r="G13" i="37" s="1"/>
  <c r="E13" i="37"/>
  <c r="N45" i="39"/>
  <c r="O45" i="39" s="1"/>
  <c r="O25" i="39"/>
  <c r="C18" i="27" s="1"/>
  <c r="O152" i="31"/>
  <c r="E46" i="6" s="1"/>
  <c r="E16" i="37"/>
  <c r="C24" i="37"/>
  <c r="C26" i="37" s="1"/>
  <c r="N119" i="31"/>
  <c r="O117" i="31"/>
  <c r="F31" i="25"/>
  <c r="F59" i="39"/>
  <c r="F38" i="22"/>
  <c r="F58" i="39"/>
  <c r="S17" i="38" l="1"/>
  <c r="X12" i="21"/>
  <c r="W14" i="21"/>
  <c r="W46" i="21"/>
  <c r="W13" i="21"/>
  <c r="T17" i="38"/>
  <c r="U49" i="21"/>
  <c r="S9" i="38"/>
  <c r="V15" i="21"/>
  <c r="V47" i="21"/>
  <c r="D25" i="27"/>
  <c r="O155" i="31"/>
  <c r="G46" i="6" s="1"/>
  <c r="E24" i="37"/>
  <c r="E26" i="37" s="1"/>
  <c r="G16" i="37"/>
  <c r="G24" i="37" s="1"/>
  <c r="G26" i="37" s="1"/>
  <c r="N48" i="39"/>
  <c r="O48" i="39" s="1"/>
  <c r="C121" i="31"/>
  <c r="N28" i="22"/>
  <c r="O28" i="22" s="1"/>
  <c r="C26" i="7" s="1"/>
  <c r="O119" i="31"/>
  <c r="F60" i="39"/>
  <c r="F32" i="25"/>
  <c r="F33" i="25" s="1"/>
  <c r="G8" i="25" s="1"/>
  <c r="Y12" i="21" l="1"/>
  <c r="X14" i="21"/>
  <c r="X48" i="21" s="1"/>
  <c r="X13" i="21"/>
  <c r="X46" i="21"/>
  <c r="S11" i="38"/>
  <c r="W47" i="21"/>
  <c r="W15" i="21"/>
  <c r="U10" i="38"/>
  <c r="V49" i="21"/>
  <c r="T9" i="38"/>
  <c r="T11" i="38" s="1"/>
  <c r="W48" i="21"/>
  <c r="Q20" i="38"/>
  <c r="V20" i="38"/>
  <c r="AA20" i="38"/>
  <c r="G24" i="6"/>
  <c r="P20" i="38"/>
  <c r="T20" i="38"/>
  <c r="Z20" i="38"/>
  <c r="Y20" i="38"/>
  <c r="U20" i="38"/>
  <c r="X20" i="38"/>
  <c r="S20" i="38"/>
  <c r="R20" i="38"/>
  <c r="W20" i="38"/>
  <c r="E24" i="6"/>
  <c r="J20" i="38"/>
  <c r="F20" i="38"/>
  <c r="M20" i="38"/>
  <c r="C20" i="38"/>
  <c r="L20" i="38"/>
  <c r="G20" i="38"/>
  <c r="H20" i="38"/>
  <c r="K20" i="38"/>
  <c r="N20" i="38"/>
  <c r="D20" i="38"/>
  <c r="E20" i="38"/>
  <c r="I20" i="38"/>
  <c r="C123" i="31"/>
  <c r="D25" i="5"/>
  <c r="C47" i="6"/>
  <c r="F34" i="25"/>
  <c r="G26" i="25" s="1"/>
  <c r="E44" i="6" l="1"/>
  <c r="F44" i="6" s="1"/>
  <c r="D18" i="27"/>
  <c r="U17" i="38"/>
  <c r="V10" i="38"/>
  <c r="U9" i="38"/>
  <c r="U11" i="38" s="1"/>
  <c r="W49" i="21"/>
  <c r="X47" i="21"/>
  <c r="X15" i="21"/>
  <c r="V17" i="38"/>
  <c r="Z12" i="21"/>
  <c r="Y14" i="21"/>
  <c r="Y13" i="21"/>
  <c r="Y46" i="21"/>
  <c r="D121" i="31"/>
  <c r="O20" i="38"/>
  <c r="AB20" i="38"/>
  <c r="G29" i="25"/>
  <c r="G35" i="22"/>
  <c r="G55" i="39"/>
  <c r="G64" i="39" s="1"/>
  <c r="Y15" i="21" l="1"/>
  <c r="Y47" i="21"/>
  <c r="Y48" i="21"/>
  <c r="W10" i="38"/>
  <c r="X49" i="21"/>
  <c r="V9" i="38"/>
  <c r="V11" i="38" s="1"/>
  <c r="AA12" i="21"/>
  <c r="Z13" i="21"/>
  <c r="Z46" i="21"/>
  <c r="Z14" i="21"/>
  <c r="Z48" i="21" s="1"/>
  <c r="X17" i="38" s="1"/>
  <c r="D123" i="31"/>
  <c r="G65" i="39"/>
  <c r="G57" i="39"/>
  <c r="G37" i="22"/>
  <c r="G30" i="25"/>
  <c r="AB12" i="21" l="1"/>
  <c r="AA14" i="21"/>
  <c r="AA48" i="21" s="1"/>
  <c r="Y17" i="38" s="1"/>
  <c r="AA13" i="21"/>
  <c r="AA46" i="21"/>
  <c r="W17" i="38"/>
  <c r="Z15" i="21"/>
  <c r="Z47" i="21"/>
  <c r="Y10" i="38" s="1"/>
  <c r="X10" i="38"/>
  <c r="Y49" i="21"/>
  <c r="W9" i="38"/>
  <c r="W11" i="38" s="1"/>
  <c r="E121" i="31"/>
  <c r="G38" i="22"/>
  <c r="G58" i="39"/>
  <c r="G31" i="25"/>
  <c r="G59" i="39"/>
  <c r="Z49" i="21" l="1"/>
  <c r="X9" i="38"/>
  <c r="X11" i="38" s="1"/>
  <c r="AC12" i="21"/>
  <c r="AB13" i="21"/>
  <c r="AB46" i="21"/>
  <c r="AB14" i="21"/>
  <c r="AB48" i="21" s="1"/>
  <c r="AA15" i="21"/>
  <c r="AA47" i="21"/>
  <c r="E123" i="31"/>
  <c r="G60" i="39"/>
  <c r="G32" i="25"/>
  <c r="G34" i="25" s="1"/>
  <c r="H26" i="25" s="1"/>
  <c r="AC46" i="21" l="1"/>
  <c r="AD46" i="21" s="1"/>
  <c r="AC14" i="21"/>
  <c r="AC13" i="21"/>
  <c r="AD12" i="21"/>
  <c r="Z17" i="38"/>
  <c r="Y9" i="38"/>
  <c r="Y11" i="38" s="1"/>
  <c r="AA49" i="21"/>
  <c r="Z10" i="38"/>
  <c r="AB47" i="21"/>
  <c r="AB15" i="21"/>
  <c r="F121" i="31"/>
  <c r="H35" i="22"/>
  <c r="H55" i="39"/>
  <c r="H64" i="39" s="1"/>
  <c r="G33" i="25"/>
  <c r="H8" i="25" s="1"/>
  <c r="AF12" i="21" l="1"/>
  <c r="AF36" i="21"/>
  <c r="AF42" i="21"/>
  <c r="AF18" i="21"/>
  <c r="AF24" i="21"/>
  <c r="AF30" i="21"/>
  <c r="AC15" i="21"/>
  <c r="AD15" i="21" s="1"/>
  <c r="AD49" i="21" s="1"/>
  <c r="AC47" i="21"/>
  <c r="AD13" i="21"/>
  <c r="AA10" i="38"/>
  <c r="AB10" i="38" s="1"/>
  <c r="AB49" i="21"/>
  <c r="Z9" i="38"/>
  <c r="Z11" i="38" s="1"/>
  <c r="AC48" i="21"/>
  <c r="AD14" i="21"/>
  <c r="G16" i="6" s="1"/>
  <c r="G22" i="6" s="1"/>
  <c r="E26" i="27" s="1"/>
  <c r="F123" i="31"/>
  <c r="H57" i="39"/>
  <c r="H58" i="39" s="1"/>
  <c r="H65" i="39"/>
  <c r="H37" i="22"/>
  <c r="AA17" i="38" l="1"/>
  <c r="AB17" i="38" s="1"/>
  <c r="F30" i="5" s="1"/>
  <c r="AD48" i="21"/>
  <c r="G8" i="6"/>
  <c r="G14" i="6" s="1"/>
  <c r="E15" i="27" s="1"/>
  <c r="AE15" i="21"/>
  <c r="AE14" i="21"/>
  <c r="AA9" i="38"/>
  <c r="AC49" i="21"/>
  <c r="AD47" i="21"/>
  <c r="AF39" i="21"/>
  <c r="AF45" i="21"/>
  <c r="AF15" i="21"/>
  <c r="AF27" i="21"/>
  <c r="AF21" i="21"/>
  <c r="AF33" i="21"/>
  <c r="G121" i="31"/>
  <c r="H59" i="39"/>
  <c r="H60" i="39" s="1"/>
  <c r="H38" i="22"/>
  <c r="AE13" i="21" l="1"/>
  <c r="AF37" i="21"/>
  <c r="AF25" i="21"/>
  <c r="AF19" i="21"/>
  <c r="AF43" i="21"/>
  <c r="AF31" i="21"/>
  <c r="G55" i="6"/>
  <c r="AF13" i="21"/>
  <c r="E18" i="27"/>
  <c r="E16" i="27"/>
  <c r="G23" i="6"/>
  <c r="G44" i="6" s="1"/>
  <c r="H44" i="6" s="1"/>
  <c r="E22" i="27"/>
  <c r="H22" i="6"/>
  <c r="H43" i="6"/>
  <c r="AA11" i="38"/>
  <c r="AB9" i="38"/>
  <c r="AB11" i="38" s="1"/>
  <c r="AF32" i="21"/>
  <c r="AF38" i="21"/>
  <c r="AF44" i="21"/>
  <c r="AF20" i="21"/>
  <c r="AF26" i="21"/>
  <c r="AF14" i="21"/>
  <c r="G123" i="31"/>
  <c r="H22" i="25"/>
  <c r="H23" i="6" l="1"/>
  <c r="E17" i="27"/>
  <c r="F10" i="5"/>
  <c r="H121" i="31"/>
  <c r="H123" i="31" s="1"/>
  <c r="I121" i="31" s="1"/>
  <c r="I123" i="31" s="1"/>
  <c r="J121" i="31" s="1"/>
  <c r="J123" i="31" s="1"/>
  <c r="K121" i="31" s="1"/>
  <c r="K123" i="31" s="1"/>
  <c r="L121" i="31" s="1"/>
  <c r="L123" i="31" s="1"/>
  <c r="M121" i="31" s="1"/>
  <c r="M123" i="31" s="1"/>
  <c r="N121" i="31" s="1"/>
  <c r="H29" i="25"/>
  <c r="H30" i="25" s="1"/>
  <c r="H31" i="25" s="1"/>
  <c r="E25" i="27" l="1"/>
  <c r="E24" i="27"/>
  <c r="N123" i="31"/>
  <c r="O121" i="31"/>
  <c r="H32" i="25"/>
  <c r="H34" i="25" s="1"/>
  <c r="I26" i="25" s="1"/>
  <c r="C125" i="31" l="1"/>
  <c r="O123" i="31"/>
  <c r="H33" i="25"/>
  <c r="I8" i="25" s="1"/>
  <c r="I29" i="25"/>
  <c r="I30" i="25" s="1"/>
  <c r="I55" i="39"/>
  <c r="I64" i="39" s="1"/>
  <c r="I35" i="22"/>
  <c r="E47" i="6" l="1"/>
  <c r="E26" i="7"/>
  <c r="E25" i="5"/>
  <c r="C127" i="31"/>
  <c r="I37" i="22"/>
  <c r="I38" i="22" s="1"/>
  <c r="I65" i="39"/>
  <c r="I57" i="39"/>
  <c r="I58" i="39" s="1"/>
  <c r="I31" i="25"/>
  <c r="D125" i="31" l="1"/>
  <c r="I59" i="39"/>
  <c r="I32" i="25"/>
  <c r="I34" i="25" s="1"/>
  <c r="J26" i="25" s="1"/>
  <c r="D127" i="31" l="1"/>
  <c r="J29" i="25"/>
  <c r="J30" i="25" s="1"/>
  <c r="J55" i="39"/>
  <c r="J64" i="39" s="1"/>
  <c r="J35" i="22"/>
  <c r="J37" i="22" s="1"/>
  <c r="J38" i="22" s="1"/>
  <c r="I33" i="25"/>
  <c r="J8" i="25" s="1"/>
  <c r="I60" i="39"/>
  <c r="E125" i="31" l="1"/>
  <c r="J31" i="25"/>
  <c r="J57" i="39"/>
  <c r="J58" i="39" s="1"/>
  <c r="J65" i="39"/>
  <c r="E127" i="31" l="1"/>
  <c r="J32" i="25"/>
  <c r="J34" i="25" s="1"/>
  <c r="K26" i="25" s="1"/>
  <c r="K35" i="22" s="1"/>
  <c r="K37" i="22" s="1"/>
  <c r="K38" i="22" s="1"/>
  <c r="J59" i="39"/>
  <c r="J60" i="39" s="1"/>
  <c r="F125" i="31" l="1"/>
  <c r="J33" i="25"/>
  <c r="K8" i="25" s="1"/>
  <c r="K55" i="39"/>
  <c r="F127" i="31" l="1"/>
  <c r="K64" i="39"/>
  <c r="K65" i="39" s="1"/>
  <c r="K59" i="39" s="1"/>
  <c r="K22" i="25" s="1"/>
  <c r="K57" i="39"/>
  <c r="K58" i="39" s="1"/>
  <c r="G125" i="31" l="1"/>
  <c r="K60" i="39"/>
  <c r="K29" i="25"/>
  <c r="K30" i="25" s="1"/>
  <c r="K31" i="25" s="1"/>
  <c r="G127" i="31" l="1"/>
  <c r="K32" i="25"/>
  <c r="K34" i="25" s="1"/>
  <c r="L26" i="25" s="1"/>
  <c r="H125" i="31" l="1"/>
  <c r="H127" i="31" s="1"/>
  <c r="I125" i="31" s="1"/>
  <c r="I127" i="31" s="1"/>
  <c r="J125" i="31" s="1"/>
  <c r="J127" i="31" s="1"/>
  <c r="K125" i="31" s="1"/>
  <c r="K127" i="31" s="1"/>
  <c r="L125" i="31" s="1"/>
  <c r="L127" i="31" s="1"/>
  <c r="M125" i="31" s="1"/>
  <c r="M127" i="31" s="1"/>
  <c r="N125" i="31" s="1"/>
  <c r="K33" i="25"/>
  <c r="L8" i="25" s="1"/>
  <c r="L35" i="22"/>
  <c r="L37" i="22" s="1"/>
  <c r="L38" i="22" s="1"/>
  <c r="L55" i="39"/>
  <c r="L64" i="39" s="1"/>
  <c r="L29" i="25"/>
  <c r="L30" i="25" s="1"/>
  <c r="N127" i="31" l="1"/>
  <c r="O127" i="31" s="1"/>
  <c r="O125" i="31"/>
  <c r="L31" i="25"/>
  <c r="L32" i="25" s="1"/>
  <c r="L34" i="25" s="1"/>
  <c r="M26" i="25" s="1"/>
  <c r="L57" i="39"/>
  <c r="L58" i="39" s="1"/>
  <c r="L65" i="39"/>
  <c r="G26" i="7" l="1"/>
  <c r="G47" i="6"/>
  <c r="F25" i="5"/>
  <c r="M29" i="25"/>
  <c r="M30" i="25" s="1"/>
  <c r="M55" i="39"/>
  <c r="M64" i="39" s="1"/>
  <c r="M35" i="22"/>
  <c r="M37" i="22" s="1"/>
  <c r="M38" i="22" s="1"/>
  <c r="L59" i="39"/>
  <c r="L33" i="25"/>
  <c r="M8" i="25" s="1"/>
  <c r="M31" i="25" l="1"/>
  <c r="M32" i="25" s="1"/>
  <c r="M34" i="25" s="1"/>
  <c r="N26" i="25" s="1"/>
  <c r="L60" i="39"/>
  <c r="M65" i="39"/>
  <c r="M57" i="39"/>
  <c r="M58" i="39" s="1"/>
  <c r="M33" i="25" l="1"/>
  <c r="N8" i="25" s="1"/>
  <c r="N35" i="22"/>
  <c r="N55" i="39"/>
  <c r="N64" i="39" s="1"/>
  <c r="O26" i="25"/>
  <c r="M59" i="39"/>
  <c r="N65" i="39" l="1"/>
  <c r="N59" i="39" s="1"/>
  <c r="O59" i="39" s="1"/>
  <c r="C58" i="6" s="1"/>
  <c r="N57" i="39"/>
  <c r="O55" i="39"/>
  <c r="C33" i="7"/>
  <c r="C35" i="7" s="1"/>
  <c r="C36" i="7" s="1"/>
  <c r="C54" i="6"/>
  <c r="C56" i="6" s="1"/>
  <c r="B25" i="38"/>
  <c r="M60" i="39"/>
  <c r="N37" i="22"/>
  <c r="O35" i="22"/>
  <c r="C57" i="6" l="1"/>
  <c r="D57" i="6" s="1"/>
  <c r="D56" i="6"/>
  <c r="N22" i="25"/>
  <c r="N58" i="39"/>
  <c r="O57" i="39"/>
  <c r="N38" i="22"/>
  <c r="O38" i="22" s="1"/>
  <c r="C14" i="26" s="1"/>
  <c r="C15" i="26" s="1"/>
  <c r="O37" i="22"/>
  <c r="C59" i="6" l="1"/>
  <c r="C21" i="36" s="1"/>
  <c r="D21" i="36" s="1"/>
  <c r="C18" i="26"/>
  <c r="C19" i="26"/>
  <c r="N60" i="39"/>
  <c r="O60" i="39" s="1"/>
  <c r="O58" i="39"/>
  <c r="N29" i="25"/>
  <c r="O22" i="25"/>
  <c r="B21" i="38" s="1"/>
  <c r="C19" i="27" l="1"/>
  <c r="C23" i="36"/>
  <c r="D23" i="36" s="1"/>
  <c r="D40" i="5"/>
  <c r="D42" i="5" s="1"/>
  <c r="C20" i="27" s="1"/>
  <c r="D59" i="6"/>
  <c r="C24" i="36"/>
  <c r="D24" i="36" s="1"/>
  <c r="C20" i="26"/>
  <c r="C36" i="36"/>
  <c r="D36" i="36" s="1"/>
  <c r="N30" i="25"/>
  <c r="O29" i="25"/>
  <c r="B28" i="38" s="1"/>
  <c r="O30" i="25" l="1"/>
  <c r="B29" i="38" s="1"/>
  <c r="N31" i="25"/>
  <c r="N32" i="25" l="1"/>
  <c r="N34" i="25" l="1"/>
  <c r="O32" i="25"/>
  <c r="N33" i="25"/>
  <c r="B31" i="38" l="1"/>
  <c r="C27" i="36"/>
  <c r="C7" i="38"/>
  <c r="D9" i="5"/>
  <c r="D14" i="5" s="1"/>
  <c r="D26" i="5" s="1"/>
  <c r="D36" i="5"/>
  <c r="D37" i="5" s="1"/>
  <c r="C12" i="27" s="1"/>
  <c r="C33" i="36" s="1"/>
  <c r="D33" i="36" s="1"/>
  <c r="C25" i="38"/>
  <c r="C63" i="6" s="1"/>
  <c r="C28" i="38" l="1"/>
  <c r="C29" i="38" s="1"/>
  <c r="C30" i="38" s="1"/>
  <c r="D27" i="36"/>
  <c r="C28" i="36"/>
  <c r="D28" i="36" s="1"/>
  <c r="C28" i="27"/>
  <c r="C21" i="27"/>
  <c r="C13" i="27"/>
  <c r="C16" i="36" s="1"/>
  <c r="D16" i="36" s="1"/>
  <c r="C9" i="27"/>
  <c r="C10" i="27"/>
  <c r="D43" i="5"/>
  <c r="D45" i="5" s="1"/>
  <c r="C31" i="38" l="1"/>
  <c r="C32" i="38" s="1"/>
  <c r="D7" i="38" s="1"/>
  <c r="C64" i="6"/>
  <c r="D46" i="5"/>
  <c r="C32" i="36"/>
  <c r="D32" i="36" s="1"/>
  <c r="C65" i="6" l="1"/>
  <c r="C33" i="38"/>
  <c r="D25" i="38" s="1"/>
  <c r="D63" i="6" s="1"/>
  <c r="D28" i="38" l="1"/>
  <c r="D29" i="38" s="1"/>
  <c r="D30" i="38" s="1"/>
  <c r="D64" i="6" l="1"/>
  <c r="D31" i="38"/>
  <c r="D33" i="38" l="1"/>
  <c r="E25" i="38" s="1"/>
  <c r="E63" i="6" s="1"/>
  <c r="D32" i="38"/>
  <c r="E7" i="38" s="1"/>
  <c r="D65" i="6"/>
  <c r="E64" i="6" l="1"/>
  <c r="E65" i="6" l="1"/>
  <c r="E21" i="38" l="1"/>
  <c r="E28" i="38" s="1"/>
  <c r="E29" i="38" s="1"/>
  <c r="E30" i="38" s="1"/>
  <c r="E31" i="38" l="1"/>
  <c r="E32" i="38" s="1"/>
  <c r="F7" i="38" s="1"/>
  <c r="E33" i="38" l="1"/>
  <c r="F25" i="38" s="1"/>
  <c r="F63" i="6" s="1"/>
  <c r="F28" i="38" l="1"/>
  <c r="F29" i="38" s="1"/>
  <c r="F30" i="38" s="1"/>
  <c r="F31" i="38" l="1"/>
  <c r="F64" i="6"/>
  <c r="F65" i="6" l="1"/>
  <c r="F33" i="38"/>
  <c r="G25" i="38" s="1"/>
  <c r="G63" i="6" s="1"/>
  <c r="F32" i="38"/>
  <c r="G7" i="38" s="1"/>
  <c r="G28" i="38" l="1"/>
  <c r="G29" i="38" s="1"/>
  <c r="G30" i="38" s="1"/>
  <c r="G64" i="6" l="1"/>
  <c r="G31" i="38"/>
  <c r="G32" i="38" s="1"/>
  <c r="H7" i="38" s="1"/>
  <c r="G33" i="38" l="1"/>
  <c r="H25" i="38" s="1"/>
  <c r="G65" i="6"/>
  <c r="H63" i="6" l="1"/>
  <c r="H64" i="6" s="1"/>
  <c r="H65" i="6" s="1"/>
  <c r="H21" i="38" s="1"/>
  <c r="H28" i="38" s="1"/>
  <c r="H29" i="38" s="1"/>
  <c r="H30" i="38" s="1"/>
  <c r="H31" i="38" l="1"/>
  <c r="H33" i="38" s="1"/>
  <c r="I25" i="38" s="1"/>
  <c r="I63" i="6" s="1"/>
  <c r="I28" i="38" l="1"/>
  <c r="I29" i="38" s="1"/>
  <c r="I64" i="6"/>
  <c r="I65" i="6" s="1"/>
  <c r="H32" i="38"/>
  <c r="I7" i="38" s="1"/>
  <c r="I30" i="38" l="1"/>
  <c r="I31" i="38" l="1"/>
  <c r="I33" i="38" s="1"/>
  <c r="J25" i="38" s="1"/>
  <c r="J63" i="6" s="1"/>
  <c r="I32" i="38" l="1"/>
  <c r="J7" i="38" s="1"/>
  <c r="J28" i="38"/>
  <c r="J29" i="38" s="1"/>
  <c r="J64" i="6"/>
  <c r="J65" i="6" s="1"/>
  <c r="J30" i="38" l="1"/>
  <c r="J31" i="38" s="1"/>
  <c r="J33" i="38" s="1"/>
  <c r="K25" i="38" s="1"/>
  <c r="K63" i="6" l="1"/>
  <c r="K64" i="6" s="1"/>
  <c r="K65" i="6" s="1"/>
  <c r="K21" i="38" s="1"/>
  <c r="K28" i="38" s="1"/>
  <c r="K29" i="38" s="1"/>
  <c r="J32" i="38"/>
  <c r="K7" i="38" s="1"/>
  <c r="K30" i="38" l="1"/>
  <c r="K31" i="38" s="1"/>
  <c r="K33" i="38" s="1"/>
  <c r="L25" i="38" s="1"/>
  <c r="L63" i="6" s="1"/>
  <c r="L64" i="6" l="1"/>
  <c r="L65" i="6" s="1"/>
  <c r="L28" i="38"/>
  <c r="L29" i="38" s="1"/>
  <c r="K32" i="38"/>
  <c r="L7" i="38" s="1"/>
  <c r="L30" i="38" l="1"/>
  <c r="L31" i="38" l="1"/>
  <c r="L33" i="38" s="1"/>
  <c r="M25" i="38" s="1"/>
  <c r="M63" i="6" s="1"/>
  <c r="L32" i="38" l="1"/>
  <c r="M7" i="38" s="1"/>
  <c r="M28" i="38"/>
  <c r="M29" i="38" s="1"/>
  <c r="M64" i="6"/>
  <c r="M65" i="6" s="1"/>
  <c r="M30" i="38" l="1"/>
  <c r="M31" i="38" s="1"/>
  <c r="M33" i="38" s="1"/>
  <c r="N25" i="38" s="1"/>
  <c r="N63" i="6" s="1"/>
  <c r="O25" i="38" l="1"/>
  <c r="M32" i="38"/>
  <c r="N7" i="38" s="1"/>
  <c r="E54" i="6" l="1"/>
  <c r="E56" i="6" s="1"/>
  <c r="O28" i="38"/>
  <c r="O29" i="38" s="1"/>
  <c r="E33" i="7"/>
  <c r="E35" i="7" s="1"/>
  <c r="E36" i="7" s="1"/>
  <c r="N64" i="6"/>
  <c r="O63" i="6"/>
  <c r="E57" i="6" l="1"/>
  <c r="F57" i="6" s="1"/>
  <c r="F56" i="6"/>
  <c r="N65" i="6"/>
  <c r="O64" i="6"/>
  <c r="O65" i="6" l="1"/>
  <c r="E58" i="6" s="1"/>
  <c r="E59" i="6" s="1"/>
  <c r="N21" i="38"/>
  <c r="N28" i="38" s="1"/>
  <c r="N29" i="38" s="1"/>
  <c r="N30" i="38" s="1"/>
  <c r="E40" i="5" l="1"/>
  <c r="E42" i="5" s="1"/>
  <c r="D20" i="27" s="1"/>
  <c r="F59" i="6"/>
  <c r="D19" i="27"/>
  <c r="N31" i="38"/>
  <c r="N32" i="38" s="1"/>
  <c r="P7" i="38" l="1"/>
  <c r="E9" i="5"/>
  <c r="E14" i="5" s="1"/>
  <c r="E26" i="5" s="1"/>
  <c r="N33" i="38"/>
  <c r="O31" i="38"/>
  <c r="E36" i="5" l="1"/>
  <c r="E37" i="5" s="1"/>
  <c r="D12" i="27" s="1"/>
  <c r="P25" i="38"/>
  <c r="C67" i="6" s="1"/>
  <c r="D21" i="27"/>
  <c r="D28" i="27"/>
  <c r="P28" i="38" l="1"/>
  <c r="D13" i="27"/>
  <c r="D9" i="27"/>
  <c r="E43" i="5"/>
  <c r="E45" i="5" s="1"/>
  <c r="E46" i="5" s="1"/>
  <c r="D10" i="27"/>
  <c r="C68" i="6" l="1"/>
  <c r="P29" i="38"/>
  <c r="P30" i="38" l="1"/>
  <c r="C69" i="6"/>
  <c r="P31" i="38" l="1"/>
  <c r="P33" i="38" l="1"/>
  <c r="Q25" i="38" s="1"/>
  <c r="D67" i="6" s="1"/>
  <c r="P32" i="38"/>
  <c r="Q7" i="38" s="1"/>
  <c r="Q28" i="38" l="1"/>
  <c r="D68" i="6" l="1"/>
  <c r="Q29" i="38"/>
  <c r="Q30" i="38" l="1"/>
  <c r="D69" i="6"/>
  <c r="Q31" i="38" l="1"/>
  <c r="Q32" i="38" s="1"/>
  <c r="R7" i="38" s="1"/>
  <c r="Q33" i="38" l="1"/>
  <c r="R25" i="38" s="1"/>
  <c r="E67" i="6" s="1"/>
  <c r="E68" i="6" l="1"/>
  <c r="E69" i="6" l="1"/>
  <c r="R21" i="38" l="1"/>
  <c r="R28" i="38" l="1"/>
  <c r="R29" i="38" l="1"/>
  <c r="R30" i="38" l="1"/>
  <c r="R31" i="38" s="1"/>
  <c r="R32" i="38" l="1"/>
  <c r="S7" i="38" s="1"/>
  <c r="R33" i="38"/>
  <c r="S25" i="38" s="1"/>
  <c r="F67" i="6" s="1"/>
  <c r="S28" i="38" l="1"/>
  <c r="S29" i="38" l="1"/>
  <c r="F68" i="6"/>
  <c r="F69" i="6" l="1"/>
  <c r="S30" i="38"/>
  <c r="S31" i="38" s="1"/>
  <c r="S32" i="38" l="1"/>
  <c r="T7" i="38" s="1"/>
  <c r="S33" i="38"/>
  <c r="T25" i="38" s="1"/>
  <c r="G67" i="6" s="1"/>
  <c r="T28" i="38" l="1"/>
  <c r="G68" i="6" l="1"/>
  <c r="T29" i="38"/>
  <c r="T30" i="38" l="1"/>
  <c r="G69" i="6"/>
  <c r="T31" i="38" l="1"/>
  <c r="T32" i="38" s="1"/>
  <c r="U7" i="38" s="1"/>
  <c r="T33" i="38" l="1"/>
  <c r="U25" i="38" s="1"/>
  <c r="H67" i="6" l="1"/>
  <c r="H68" i="6" s="1"/>
  <c r="H69" i="6" s="1"/>
  <c r="U21" i="38" s="1"/>
  <c r="U28" i="38" s="1"/>
  <c r="U29" i="38" s="1"/>
  <c r="U30" i="38" s="1"/>
  <c r="U31" i="38" s="1"/>
  <c r="U32" i="38" l="1"/>
  <c r="V7" i="38" s="1"/>
  <c r="U33" i="38"/>
  <c r="V25" i="38" s="1"/>
  <c r="I67" i="6" s="1"/>
  <c r="I68" i="6" l="1"/>
  <c r="I69" i="6" s="1"/>
  <c r="V28" i="38"/>
  <c r="V29" i="38" s="1"/>
  <c r="V30" i="38" s="1"/>
  <c r="V31" i="38" s="1"/>
  <c r="V32" i="38" l="1"/>
  <c r="W7" i="38" s="1"/>
  <c r="V33" i="38"/>
  <c r="W25" i="38" s="1"/>
  <c r="J67" i="6" s="1"/>
  <c r="W28" i="38" l="1"/>
  <c r="W29" i="38" s="1"/>
  <c r="W30" i="38" s="1"/>
  <c r="J68" i="6"/>
  <c r="J69" i="6" s="1"/>
  <c r="W31" i="38" l="1"/>
  <c r="W33" i="38" s="1"/>
  <c r="X25" i="38" s="1"/>
  <c r="K67" i="6" l="1"/>
  <c r="K68" i="6" s="1"/>
  <c r="K69" i="6" s="1"/>
  <c r="X21" i="38" s="1"/>
  <c r="X28" i="38" s="1"/>
  <c r="X29" i="38" s="1"/>
  <c r="W32" i="38"/>
  <c r="X7" i="38" s="1"/>
  <c r="X30" i="38" l="1"/>
  <c r="X31" i="38" s="1"/>
  <c r="X33" i="38" s="1"/>
  <c r="Y25" i="38" s="1"/>
  <c r="L67" i="6" s="1"/>
  <c r="X32" i="38" l="1"/>
  <c r="Y7" i="38" s="1"/>
  <c r="Y28" i="38"/>
  <c r="Y29" i="38" s="1"/>
  <c r="L68" i="6"/>
  <c r="L69" i="6" s="1"/>
  <c r="Y30" i="38" l="1"/>
  <c r="Y31" i="38" s="1"/>
  <c r="Y33" i="38" s="1"/>
  <c r="Z25" i="38" s="1"/>
  <c r="M67" i="6" s="1"/>
  <c r="Y32" i="38" l="1"/>
  <c r="Z7" i="38" s="1"/>
  <c r="Z28" i="38"/>
  <c r="Z29" i="38" s="1"/>
  <c r="M68" i="6"/>
  <c r="M69" i="6" s="1"/>
  <c r="Z30" i="38" l="1"/>
  <c r="Z31" i="38" s="1"/>
  <c r="Z33" i="38" s="1"/>
  <c r="AA25" i="38" s="1"/>
  <c r="N67" i="6" s="1"/>
  <c r="Z32" i="38" l="1"/>
  <c r="AA7" i="38" s="1"/>
  <c r="AB25" i="38"/>
  <c r="N68" i="6" l="1"/>
  <c r="O67" i="6"/>
  <c r="G54" i="6"/>
  <c r="G56" i="6" s="1"/>
  <c r="G33" i="7"/>
  <c r="G35" i="7" s="1"/>
  <c r="G36" i="7" s="1"/>
  <c r="G57" i="6" l="1"/>
  <c r="H57" i="6" s="1"/>
  <c r="H56" i="6"/>
  <c r="N69" i="6"/>
  <c r="O68" i="6"/>
  <c r="O69" i="6" l="1"/>
  <c r="G58" i="6" s="1"/>
  <c r="G59" i="6" s="1"/>
  <c r="AA21" i="38"/>
  <c r="F40" i="5" l="1"/>
  <c r="F42" i="5" s="1"/>
  <c r="E20" i="27" s="1"/>
  <c r="E19" i="27"/>
  <c r="H59" i="6"/>
  <c r="AA28" i="38"/>
  <c r="AB21" i="38"/>
  <c r="AA29" i="38" l="1"/>
  <c r="AB28" i="38"/>
  <c r="AB29" i="38" l="1"/>
  <c r="AA30" i="38"/>
  <c r="AA31" i="38" s="1"/>
  <c r="AA32" i="38" l="1"/>
  <c r="F9" i="5" s="1"/>
  <c r="F14" i="5" s="1"/>
  <c r="F26" i="5" s="1"/>
  <c r="AA33" i="38"/>
  <c r="F36" i="5" s="1"/>
  <c r="F37" i="5" s="1"/>
  <c r="E12" i="27" s="1"/>
  <c r="AB31" i="38"/>
  <c r="F43" i="5" l="1"/>
  <c r="F45" i="5" s="1"/>
  <c r="F46" i="5" s="1"/>
  <c r="E9" i="27"/>
  <c r="E13" i="27"/>
  <c r="E10" i="27"/>
  <c r="E21" i="27"/>
  <c r="E28"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Heather Hendy</author>
  </authors>
  <commentList>
    <comment ref="D7" authorId="0" shapeId="0" xr:uid="{00000000-0006-0000-0100-000001000000}">
      <text>
        <r>
          <rPr>
            <sz val="11"/>
            <color indexed="81"/>
            <rFont val="Gill Sans MT"/>
            <family val="2"/>
          </rPr>
          <t xml:space="preserve">Years of depreciation must be 3 or more for the calculations in this workbook to work correctly. </t>
        </r>
        <r>
          <rPr>
            <sz val="9"/>
            <color indexed="81"/>
            <rFont val="Tahoma"/>
            <family val="2"/>
          </rPr>
          <t xml:space="preserve">
</t>
        </r>
      </text>
    </comment>
    <comment ref="B29" authorId="0" shapeId="0" xr:uid="{00000000-0006-0000-0100-000002000000}">
      <text>
        <r>
          <rPr>
            <sz val="11"/>
            <color indexed="81"/>
            <rFont val="Gill Sans MT"/>
            <family val="2"/>
          </rPr>
          <t xml:space="preserve">Existing businesses should use the calculator at the bottom of this page to determine the Working Capital amount. Calculate the number, then enter it here.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Heather Hendy</author>
    <author>Joseph Clarke</author>
    <author>SCOREUSER</author>
  </authors>
  <commentList>
    <comment ref="F8" authorId="0" shapeId="0" xr:uid="{00000000-0006-0000-0200-000001000000}">
      <text>
        <r>
          <rPr>
            <sz val="10"/>
            <color rgb="FF000000"/>
            <rFont val="Gill Sans MT"/>
            <family val="2"/>
          </rPr>
          <t xml:space="preserve">These cells have been auto-populated, but can be overwritten if your payroll expenses increase over time. To restore the auto-population, enter this formula in the cell: =F[insert row number]. For example, the first row in this section would use: =F8. </t>
        </r>
        <r>
          <rPr>
            <sz val="9"/>
            <color rgb="FF000000"/>
            <rFont val="Tahoma"/>
            <family val="2"/>
          </rPr>
          <t xml:space="preserve">
</t>
        </r>
      </text>
    </comment>
    <comment ref="B14" authorId="0" shapeId="0" xr:uid="{00000000-0006-0000-0200-000002000000}">
      <text>
        <r>
          <rPr>
            <sz val="11"/>
            <color rgb="FF000000"/>
            <rFont val="Gill Sans MT"/>
            <family val="2"/>
          </rPr>
          <t xml:space="preserve">The Wage Base limit is the maximum earned gross income on which a given tax may be imposed. If you are paying a salary above that amount, you'll need to factor that into your calculation. The amounts below are for 2012.
</t>
        </r>
        <r>
          <rPr>
            <sz val="9"/>
            <color rgb="FF000000"/>
            <rFont val="Tahoma"/>
            <family val="2"/>
          </rPr>
          <t xml:space="preserve">
</t>
        </r>
      </text>
    </comment>
    <comment ref="C15" authorId="1" shapeId="0" xr:uid="{00000000-0006-0000-0200-000003000000}">
      <text>
        <r>
          <rPr>
            <sz val="9"/>
            <color rgb="FF000000"/>
            <rFont val="Tahoma"/>
            <family val="2"/>
          </rPr>
          <t xml:space="preserve">This number will be an approximation of the FICA taxes. If the salaries of individuals exceed the wage base limit, this number will overstate the FICA tax and should be adjusted.
</t>
        </r>
      </text>
    </comment>
    <comment ref="C17" authorId="0" shapeId="0" xr:uid="{00000000-0006-0000-0200-000004000000}">
      <text>
        <r>
          <rPr>
            <sz val="9"/>
            <color rgb="FF000000"/>
            <rFont val="Tahoma"/>
            <family val="2"/>
          </rPr>
          <t xml:space="preserve">The Federal Unemployment tax rate was 6.2% from January 1, 2011 through June 30, 2011; and decreased to 6.0% as of July 1, 2011. It is currently still set at that rate, less a maximum credit of 5.4% for amounts paid under State unemployment insurance laws.  Accordingly, the normal net FUTA tax is 0.6%. This information is as-of November 2015. Check with the IRS for current information. 
</t>
        </r>
        <r>
          <rPr>
            <sz val="9"/>
            <color rgb="FF000000"/>
            <rFont val="Tahoma"/>
            <family val="2"/>
          </rPr>
          <t xml:space="preserve">
</t>
        </r>
      </text>
    </comment>
    <comment ref="C18" authorId="1" shapeId="0" xr:uid="{00000000-0006-0000-0200-000005000000}">
      <text>
        <r>
          <rPr>
            <sz val="9"/>
            <color rgb="FF000000"/>
            <rFont val="Tahoma"/>
            <family val="2"/>
          </rPr>
          <t xml:space="preserve">Each state has different SUTA rates and wage base limits. Tailor this cell to reflect your state's information.
</t>
        </r>
      </text>
    </comment>
    <comment ref="E19" authorId="2" shapeId="0" xr:uid="{00000000-0006-0000-0200-000006000000}">
      <text>
        <r>
          <rPr>
            <b/>
            <sz val="11"/>
            <color indexed="81"/>
            <rFont val="Gill Sans MT"/>
            <family val="2"/>
          </rPr>
          <t xml:space="preserve">
For these benefits, the formula assumes part-time employees are included. If this is not the case, change the formula accordingly.</t>
        </r>
      </text>
    </comment>
    <comment ref="E20" authorId="2" shapeId="0" xr:uid="{00000000-0006-0000-0200-000007000000}">
      <text>
        <r>
          <rPr>
            <b/>
            <sz val="11"/>
            <color indexed="81"/>
            <rFont val="Gill Sans MT"/>
            <family val="2"/>
          </rPr>
          <t xml:space="preserve">
For these benefits, the formula assumes part-time employees are included. If this is not the case, change the formula accordingly</t>
        </r>
        <r>
          <rPr>
            <b/>
            <sz val="9"/>
            <color indexed="81"/>
            <rFont val="Tahoma"/>
            <family val="2"/>
          </rPr>
          <t>.</t>
        </r>
        <r>
          <rPr>
            <sz val="9"/>
            <color indexed="81"/>
            <rFont val="Tahoma"/>
            <family val="2"/>
          </rPr>
          <t xml:space="preserve">
</t>
        </r>
      </text>
    </comment>
    <comment ref="E21" authorId="2" shapeId="0" xr:uid="{00000000-0006-0000-0200-000008000000}">
      <text>
        <r>
          <rPr>
            <b/>
            <sz val="11"/>
            <color indexed="81"/>
            <rFont val="Gill Sans MT"/>
            <family val="2"/>
          </rPr>
          <t xml:space="preserve">
For these benefits, the formula assumes part-time employees are included. If this is not the case, change the formula accordingly</t>
        </r>
        <r>
          <rPr>
            <b/>
            <sz val="9"/>
            <color indexed="81"/>
            <rFont val="Tahoma"/>
            <family val="2"/>
          </rPr>
          <t>.</t>
        </r>
        <r>
          <rPr>
            <sz val="9"/>
            <color indexed="81"/>
            <rFont val="Tahoma"/>
            <family val="2"/>
          </rPr>
          <t xml:space="preserve">
</t>
        </r>
      </text>
    </comment>
    <comment ref="E22" authorId="2" shapeId="0" xr:uid="{00000000-0006-0000-0200-000009000000}">
      <text>
        <r>
          <rPr>
            <sz val="11"/>
            <color indexed="81"/>
            <rFont val="Gill Sans MT"/>
            <family val="2"/>
          </rPr>
          <t xml:space="preserve">
</t>
        </r>
        <r>
          <rPr>
            <b/>
            <sz val="11"/>
            <color indexed="81"/>
            <rFont val="Gill Sans MT"/>
            <family val="2"/>
          </rPr>
          <t>For these benefits, the formula assumes part-time employees are included. If this is not the case, change the formula accordingly.</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Heather Hendy</author>
  </authors>
  <commentList>
    <comment ref="C8" authorId="0" shapeId="0" xr:uid="{00000000-0006-0000-0400-000001000000}">
      <text>
        <r>
          <rPr>
            <b/>
            <sz val="14"/>
            <color rgb="FF000000"/>
            <rFont val="Gill Sans MT"/>
            <family val="2"/>
          </rPr>
          <t>TIP: Enter these in the plural form! Ex. projects, dresses, bikes, etc.</t>
        </r>
        <r>
          <rPr>
            <sz val="9"/>
            <color rgb="FF000000"/>
            <rFont val="Tahoma"/>
            <family val="2"/>
          </rPr>
          <t xml:space="preserve">
</t>
        </r>
      </text>
    </comment>
    <comment ref="E8" authorId="0" shapeId="0" xr:uid="{00000000-0006-0000-0400-000002000000}">
      <text>
        <r>
          <rPr>
            <b/>
            <sz val="11"/>
            <color indexed="81"/>
            <rFont val="Gill Sans MT"/>
            <family val="2"/>
          </rPr>
          <t>TIP: Click here to access a calculator that can help you determine your COGS per unit.</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SCORE:</author>
    <author>SCORE</author>
    <author>Heather Hendy</author>
  </authors>
  <commentList>
    <comment ref="B9" authorId="0" shapeId="0" xr:uid="{00000000-0006-0000-0600-000001000000}">
      <text>
        <r>
          <rPr>
            <sz val="9"/>
            <color indexed="81"/>
            <rFont val="Tahoma"/>
            <family val="2"/>
          </rPr>
          <t xml:space="preserve">
</t>
        </r>
        <r>
          <rPr>
            <b/>
            <sz val="11"/>
            <color indexed="81"/>
            <rFont val="Gill Sans MT"/>
            <family val="2"/>
          </rPr>
          <t xml:space="preserve">If you are a retail business or don't have accounts receivable put 100% for each year. </t>
        </r>
      </text>
    </comment>
    <comment ref="B10" authorId="1" shapeId="0" xr:uid="{00000000-0006-0000-0600-000002000000}">
      <text>
        <r>
          <rPr>
            <sz val="9"/>
            <color indexed="81"/>
            <rFont val="Tahoma"/>
            <family val="2"/>
          </rPr>
          <t xml:space="preserve">
</t>
        </r>
        <r>
          <rPr>
            <b/>
            <sz val="11"/>
            <color indexed="81"/>
            <rFont val="Gill Sans MT"/>
            <family val="2"/>
          </rPr>
          <t>In this field put the percentage of your sales that you expect to carry as A/R. If your business sells in cash, put 0%. Otherwise, estimate the percentage that will be paid between 30 and 60 days after sale.</t>
        </r>
      </text>
    </comment>
    <comment ref="B11" authorId="1" shapeId="0" xr:uid="{00000000-0006-0000-0600-000003000000}">
      <text>
        <r>
          <rPr>
            <sz val="9"/>
            <color rgb="FF000000"/>
            <rFont val="Tahoma"/>
            <family val="2"/>
          </rPr>
          <t xml:space="preserve">
</t>
        </r>
        <r>
          <rPr>
            <b/>
            <sz val="11"/>
            <color rgb="FF000000"/>
            <rFont val="Arial Black"/>
            <family val="2"/>
          </rPr>
          <t>In this field put the percentage of your sales that you expect to carry as A/R but not paid for more than 60 days. If your business sells in cash, put 0%. Otherwise, estimate the percentage that will be paid more than 60 days after sale.</t>
        </r>
      </text>
    </comment>
    <comment ref="B12" authorId="0" shapeId="0" xr:uid="{00000000-0006-0000-0600-000004000000}">
      <text>
        <r>
          <rPr>
            <b/>
            <sz val="11"/>
            <color rgb="FF000000"/>
            <rFont val="Gill Sans MT"/>
            <family val="2"/>
          </rPr>
          <t xml:space="preserve">
</t>
        </r>
        <r>
          <rPr>
            <b/>
            <sz val="11"/>
            <color rgb="FF000000"/>
            <rFont val="Gill Sans MT"/>
            <family val="2"/>
          </rPr>
          <t xml:space="preserve">Allowance for bad debt is the percentage of total A/R you believe will not be collectable for whatever reason. It could be because your customer becomes insolvent or goes out of business. 
</t>
        </r>
        <r>
          <rPr>
            <b/>
            <sz val="11"/>
            <color rgb="FF000000"/>
            <rFont val="Gill Sans MT"/>
            <family val="2"/>
          </rPr>
          <t xml:space="preserve">
</t>
        </r>
        <r>
          <rPr>
            <b/>
            <sz val="11"/>
            <color rgb="FF000000"/>
            <rFont val="Gill Sans MT"/>
            <family val="2"/>
          </rPr>
          <t xml:space="preserve">If you can find an industry average for your industry, use that percentage. If in doubt, use either 0 or 1%. Many businesses that have good collection processes may have substantially less than 1% during a strong economy. Bankers like to see a figure here because it lets them know you are realistic about discounting the total value of your A/R as collateral for a potential loan. </t>
        </r>
      </text>
    </comment>
    <comment ref="D24" authorId="2" shapeId="0" xr:uid="{00000000-0006-0000-0600-000005000000}">
      <text>
        <r>
          <rPr>
            <b/>
            <sz val="9"/>
            <color indexed="81"/>
            <rFont val="Tahoma"/>
            <family val="2"/>
          </rPr>
          <t xml:space="preserve">How low do you want to let your ending cash balance to get? The minimum should be $0, but you might want to choose $1000, $5000, etc. </t>
        </r>
        <r>
          <rPr>
            <sz val="9"/>
            <color indexed="81"/>
            <rFont val="Tahoma"/>
            <family val="2"/>
          </rPr>
          <t xml:space="preserve">
</t>
        </r>
      </text>
    </comment>
    <comment ref="B27" authorId="2" shapeId="0" xr:uid="{00000000-0006-0000-0600-000006000000}">
      <text>
        <r>
          <rPr>
            <b/>
            <sz val="9"/>
            <color rgb="FF000000"/>
            <rFont val="Tahoma"/>
            <family val="2"/>
          </rPr>
          <t xml:space="preserve">
</t>
        </r>
        <r>
          <rPr>
            <b/>
            <sz val="11"/>
            <color rgb="FF000000"/>
            <rFont val="Gill Sans MT"/>
            <family val="2"/>
          </rPr>
          <t>Use this space to add items purchased after the date of the starting point (Tab 1a).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Heather Hendy</author>
    <author>Joe Clarke</author>
  </authors>
  <commentList>
    <comment ref="B22" authorId="0" shapeId="0" xr:uid="{00000000-0006-0000-0900-000001000000}">
      <text>
        <r>
          <rPr>
            <sz val="11"/>
            <color indexed="81"/>
            <rFont val="Gill Sans MT"/>
            <family val="2"/>
          </rPr>
          <t xml:space="preserve">This line allows you to approximate the personal income tax of the owner(s). This is the tax on the profit for the business.  </t>
        </r>
        <r>
          <rPr>
            <sz val="9"/>
            <color indexed="81"/>
            <rFont val="Tahoma"/>
            <family val="2"/>
          </rPr>
          <t xml:space="preserve">
</t>
        </r>
      </text>
    </comment>
    <comment ref="B25" authorId="1" shapeId="0" xr:uid="{00000000-0006-0000-0900-000002000000}">
      <text>
        <r>
          <rPr>
            <b/>
            <sz val="9"/>
            <color indexed="81"/>
            <rFont val="Tahoma"/>
            <family val="2"/>
          </rPr>
          <t>Only record owner's draws above those already listed on the payroll tabs.</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Joe Clarke</author>
  </authors>
  <commentList>
    <comment ref="A24" authorId="0" shapeId="0" xr:uid="{00000000-0006-0000-0A00-000001000000}">
      <text>
        <r>
          <rPr>
            <b/>
            <sz val="9"/>
            <color indexed="81"/>
            <rFont val="Tahoma"/>
            <family val="2"/>
          </rPr>
          <t xml:space="preserve">Only record owner's draws above those already listed on the payroll tabs.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Heather Hendy</author>
  </authors>
  <commentList>
    <comment ref="B45" authorId="0" shapeId="0" xr:uid="{00000000-0006-0000-0B00-000001000000}">
      <text>
        <r>
          <rPr>
            <sz val="11"/>
            <color indexed="81"/>
            <rFont val="Gill Sans MT"/>
            <family val="2"/>
          </rPr>
          <t xml:space="preserve">
Also known as</t>
        </r>
        <r>
          <rPr>
            <b/>
            <sz val="11"/>
            <color indexed="81"/>
            <rFont val="Gill Sans MT"/>
            <family val="2"/>
          </rPr>
          <t xml:space="preserve"> EBITDA</t>
        </r>
        <r>
          <rPr>
            <sz val="11"/>
            <color indexed="81"/>
            <rFont val="Gill Sans MT"/>
            <family val="2"/>
          </rPr>
          <t xml:space="preserve"> (Earnings Before Interest, Taxes,  Depreciation and Amortization). This metric allows for a comparison across different businesses, which might have different levels of taxes, depreciation, or interest. This number should be used in conjunction with other metrics, as it does not give a full picture of the health of the business.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Heather Hendy</author>
  </authors>
  <commentList>
    <comment ref="B44" authorId="0" shapeId="0" xr:uid="{00000000-0006-0000-0C00-000001000000}">
      <text>
        <r>
          <rPr>
            <sz val="11"/>
            <color indexed="81"/>
            <rFont val="Gill Sans MT"/>
            <family val="2"/>
          </rPr>
          <t xml:space="preserve">
Also known as</t>
        </r>
        <r>
          <rPr>
            <b/>
            <sz val="11"/>
            <color indexed="81"/>
            <rFont val="Gill Sans MT"/>
            <family val="2"/>
          </rPr>
          <t xml:space="preserve"> EBITDA</t>
        </r>
        <r>
          <rPr>
            <sz val="11"/>
            <color indexed="81"/>
            <rFont val="Gill Sans MT"/>
            <family val="2"/>
          </rPr>
          <t xml:space="preserve"> (Earnings Before Interest, Taxes,  Depreciation and Amortization). This metric allows for a comparison across different businesses, which might have different levels of taxes, depreciation, or interest. This number should be used in conjunction with other metrics, as it does not give a full picture of the health of the business.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Heather Hendy</author>
    <author>Jack Hess</author>
  </authors>
  <commentList>
    <comment ref="F7" authorId="0" shapeId="0" xr:uid="{00000000-0006-0000-0F00-000001000000}">
      <text>
        <r>
          <rPr>
            <sz val="11"/>
            <color indexed="81"/>
            <rFont val="Gill Sans MT"/>
            <family val="2"/>
          </rPr>
          <t xml:space="preserve">
With some research, you can find industry norms for each ratio. The Risk Management Association provides Annual Statement Studies with this information, for a fee. Visit your local library to see if they have a free copy you can use. You can also refer to trade magazines or other sources of industry data, such as www.bizstats.com or  http://biz.yahoo.com/p/industries.html. You may need to use a mix of sources, as one source may not provide all of the data. Speak with your mentor to ensure that the industry norms you are using are relevant to your business. 
Leave this column blank if you do not have the industry information. 
</t>
        </r>
      </text>
    </comment>
    <comment ref="C9" authorId="1" shapeId="0" xr:uid="{00000000-0006-0000-0F00-000002000000}">
      <text>
        <r>
          <rPr>
            <b/>
            <sz val="8"/>
            <color indexed="81"/>
            <rFont val="Tahoma"/>
            <family val="2"/>
          </rPr>
          <t>An indication of a company's ability to meet short-term debt obligations.</t>
        </r>
      </text>
    </comment>
    <comment ref="C10" authorId="1" shapeId="0" xr:uid="{00000000-0006-0000-0F00-000003000000}">
      <text>
        <r>
          <rPr>
            <b/>
            <sz val="8"/>
            <color indexed="81"/>
            <rFont val="Tahoma"/>
            <family val="2"/>
          </rPr>
          <t>The ratio between all assets quickly convertible into cash and current liabilities. Measures a company's liquidity. Also called acid-test ratio.</t>
        </r>
      </text>
    </comment>
    <comment ref="C12" authorId="1" shapeId="0" xr:uid="{00000000-0006-0000-0F00-000004000000}">
      <text>
        <r>
          <rPr>
            <b/>
            <sz val="8"/>
            <color indexed="81"/>
            <rFont val="Tahoma"/>
            <family val="2"/>
          </rPr>
          <t>This ratio expresses the relationship between capital contributed by creditors and that contributed by owners.</t>
        </r>
      </text>
    </comment>
    <comment ref="C13" authorId="1" shapeId="0" xr:uid="{00000000-0006-0000-0F00-000005000000}">
      <text>
        <r>
          <rPr>
            <b/>
            <sz val="8"/>
            <color indexed="81"/>
            <rFont val="Tahoma"/>
            <family val="2"/>
          </rPr>
          <t>This ratio indicates how well your cash flow covers debt and the capability of the business to take on additional debt.</t>
        </r>
      </text>
    </comment>
    <comment ref="C15" authorId="1" shapeId="0" xr:uid="{00000000-0006-0000-0F00-000006000000}">
      <text>
        <r>
          <rPr>
            <b/>
            <sz val="8"/>
            <color indexed="81"/>
            <rFont val="Tahoma"/>
            <family val="2"/>
          </rPr>
          <t>This ratio calculates the percentage of increase (or decrease) in sales between the current year and the previous year.</t>
        </r>
      </text>
    </comment>
    <comment ref="C16" authorId="1" shapeId="0" xr:uid="{00000000-0006-0000-0F00-000007000000}">
      <text>
        <r>
          <rPr>
            <b/>
            <sz val="8"/>
            <color indexed="81"/>
            <rFont val="Tahoma"/>
            <family val="2"/>
          </rPr>
          <t>The percentage of sales used to pay for the COGS (expenses which directly vary with sales) is expressed in this ratio.</t>
        </r>
      </text>
    </comment>
    <comment ref="C17" authorId="1" shapeId="0" xr:uid="{00000000-0006-0000-0F00-000008000000}">
      <text>
        <r>
          <rPr>
            <b/>
            <sz val="8"/>
            <color indexed="81"/>
            <rFont val="Tahoma"/>
            <family val="2"/>
          </rPr>
          <t>This ratio indicates how much profit is earned on your products without consideration of indirect costs, selling and administration costs.</t>
        </r>
      </text>
    </comment>
    <comment ref="C18" authorId="1" shapeId="0" xr:uid="{00000000-0006-0000-0F00-000009000000}">
      <text>
        <r>
          <rPr>
            <b/>
            <sz val="8"/>
            <color indexed="81"/>
            <rFont val="Tahoma"/>
            <family val="2"/>
          </rPr>
          <t>This ratio measures the percentage of selling, general and administrative costs to your amount of sales.</t>
        </r>
      </text>
    </comment>
    <comment ref="C19" authorId="1" shapeId="0" xr:uid="{00000000-0006-0000-0F00-00000A000000}">
      <text>
        <r>
          <rPr>
            <b/>
            <sz val="8"/>
            <color indexed="81"/>
            <rFont val="Tahoma"/>
            <family val="2"/>
          </rPr>
          <t>Net profit margin shows how much profit comes from every dollar of sales.</t>
        </r>
      </text>
    </comment>
    <comment ref="C20" authorId="1" shapeId="0" xr:uid="{00000000-0006-0000-0F00-00000B000000}">
      <text>
        <r>
          <rPr>
            <b/>
            <sz val="8"/>
            <color indexed="81"/>
            <rFont val="Tahoma"/>
            <family val="2"/>
          </rPr>
          <t>Return on equity determines the rate of return on your investment in the business.  As an owner or shareholder this is one of the most important ratios as it shows the hard fact about the business - are you making enough of a profit to compensate you for the risk of being in business?</t>
        </r>
      </text>
    </comment>
    <comment ref="C21" authorId="1" shapeId="0" xr:uid="{00000000-0006-0000-0F00-00000C000000}">
      <text>
        <r>
          <rPr>
            <b/>
            <sz val="8"/>
            <color indexed="81"/>
            <rFont val="Tahoma"/>
            <family val="2"/>
          </rPr>
          <t>This ratio measures how effectively assets are used to generate a return.</t>
        </r>
      </text>
    </comment>
    <comment ref="C22" authorId="1" shapeId="0" xr:uid="{00000000-0006-0000-0F00-00000D000000}">
      <text>
        <r>
          <rPr>
            <b/>
            <sz val="8"/>
            <color indexed="81"/>
            <rFont val="Tahoma"/>
            <family val="2"/>
          </rPr>
          <t>This ratio measures the owner's compensation as a percentage of sales.</t>
        </r>
      </text>
    </comment>
    <comment ref="C24" authorId="1" shapeId="0" xr:uid="{00000000-0006-0000-0F00-00000E000000}">
      <text>
        <r>
          <rPr>
            <b/>
            <sz val="8"/>
            <color indexed="81"/>
            <rFont val="Tahoma"/>
            <family val="2"/>
          </rPr>
          <t>Days in receivable calculates the average number of days it takes to collect your account receivable (number of days of sales in receivables).</t>
        </r>
      </text>
    </comment>
    <comment ref="C25" authorId="1" shapeId="0" xr:uid="{00000000-0006-0000-0F00-00000F000000}">
      <text>
        <r>
          <rPr>
            <b/>
            <sz val="8"/>
            <color rgb="FF000000"/>
            <rFont val="Tahoma"/>
            <family val="2"/>
          </rPr>
          <t>This ratio tells you the number of times accounts receivable turnover during the year.</t>
        </r>
      </text>
    </comment>
    <comment ref="C26" authorId="1" shapeId="0" xr:uid="{00000000-0006-0000-0F00-000010000000}">
      <text>
        <r>
          <rPr>
            <b/>
            <sz val="8"/>
            <color indexed="81"/>
            <rFont val="Tahoma"/>
            <family val="2"/>
          </rPr>
          <t>This ratio shows the average number of days it will take to sell your inventory.</t>
        </r>
      </text>
    </comment>
    <comment ref="C27" authorId="1" shapeId="0" xr:uid="{00000000-0006-0000-0F00-000011000000}">
      <text>
        <r>
          <rPr>
            <b/>
            <sz val="8"/>
            <color indexed="81"/>
            <rFont val="Tahoma"/>
            <family val="2"/>
          </rPr>
          <t>This ratio calculates the number of times inventory is turned over (or sold) during the year.</t>
        </r>
      </text>
    </comment>
    <comment ref="C28" authorId="1" shapeId="0" xr:uid="{00000000-0006-0000-0F00-000012000000}">
      <text>
        <r>
          <rPr>
            <b/>
            <sz val="8"/>
            <color indexed="81"/>
            <rFont val="Tahoma"/>
            <family val="2"/>
          </rPr>
          <t>This ratio indicates how efficiently your business generates sales on every dollar of assets.</t>
        </r>
      </text>
    </comment>
  </commentList>
</comments>
</file>

<file path=xl/sharedStrings.xml><?xml version="1.0" encoding="utf-8"?>
<sst xmlns="http://schemas.openxmlformats.org/spreadsheetml/2006/main" count="721" uniqueCount="369">
  <si>
    <t>Company Name</t>
  </si>
  <si>
    <t>Amount</t>
  </si>
  <si>
    <t>Equipment</t>
  </si>
  <si>
    <t>Vehicles</t>
  </si>
  <si>
    <t>Inventory</t>
  </si>
  <si>
    <t>Supplies</t>
  </si>
  <si>
    <t>Licenses</t>
  </si>
  <si>
    <t>Total Required Funds</t>
  </si>
  <si>
    <t>Totals</t>
  </si>
  <si>
    <t>ASSETS</t>
  </si>
  <si>
    <t>Total Assets</t>
  </si>
  <si>
    <t>Total Liabilities and Equity</t>
  </si>
  <si>
    <t>Loan Rate</t>
  </si>
  <si>
    <t>Term in Months</t>
  </si>
  <si>
    <t>Advertising</t>
  </si>
  <si>
    <t>Utilities</t>
  </si>
  <si>
    <t>Other</t>
  </si>
  <si>
    <t>Total Expenses</t>
  </si>
  <si>
    <t>Balance sheet in or out of balance?</t>
  </si>
  <si>
    <t>Allowance for bad debt</t>
  </si>
  <si>
    <t>Step 2 - Read the following instructions</t>
  </si>
  <si>
    <t>Cash Inflows</t>
  </si>
  <si>
    <t>Total Cash Inflows</t>
  </si>
  <si>
    <t>Cash Outflows</t>
  </si>
  <si>
    <t>Investing Activities</t>
  </si>
  <si>
    <t>Financing Activities</t>
  </si>
  <si>
    <t>Loan Payments</t>
  </si>
  <si>
    <t>Total Cash Outflows</t>
  </si>
  <si>
    <t>Ending Cash Balance</t>
  </si>
  <si>
    <t>Cost of Goods Sold</t>
  </si>
  <si>
    <t>Owners Distribution</t>
  </si>
  <si>
    <t>Depreciation</t>
  </si>
  <si>
    <t>Notes</t>
  </si>
  <si>
    <t>Fixed Assets</t>
  </si>
  <si>
    <t>Real Estate-Land</t>
  </si>
  <si>
    <t>Leasehold Improvements</t>
  </si>
  <si>
    <t>Furniture and Fixtures</t>
  </si>
  <si>
    <t>Other Fixed Assets</t>
  </si>
  <si>
    <t>Total Fixed Assets</t>
  </si>
  <si>
    <t>Operating Capital</t>
  </si>
  <si>
    <t>Pre-Opening Salaries and Wages</t>
  </si>
  <si>
    <t>Prepaid Insurance Premiums</t>
  </si>
  <si>
    <t>Legal and Accounting Fees</t>
  </si>
  <si>
    <t>Rent Deposits</t>
  </si>
  <si>
    <t>Utility Deposits</t>
  </si>
  <si>
    <t>Advertising and Promotions</t>
  </si>
  <si>
    <t>Other Initial Start-Up Costs</t>
  </si>
  <si>
    <t>Working Capital (Cash On Hand)</t>
  </si>
  <si>
    <t>Total Operating Capital</t>
  </si>
  <si>
    <t>Sources of Funding</t>
  </si>
  <si>
    <t>Monthly Payments</t>
  </si>
  <si>
    <t>Owner's Equity</t>
  </si>
  <si>
    <t>Outside Investors</t>
  </si>
  <si>
    <t>Additional Loans or Debt</t>
  </si>
  <si>
    <t>Commercial Loan</t>
  </si>
  <si>
    <t>Commercial Mortgage</t>
  </si>
  <si>
    <t>Total Sources of Funding</t>
  </si>
  <si>
    <t>Breakeven Analysis</t>
  </si>
  <si>
    <t>Interest</t>
  </si>
  <si>
    <t>Value</t>
  </si>
  <si>
    <t>Findings</t>
  </si>
  <si>
    <t>General Financing Assumptions</t>
  </si>
  <si>
    <t>Owner's Cash Injection into the Business</t>
  </si>
  <si>
    <t>Cash Request as percent of Total Required Funds</t>
  </si>
  <si>
    <t>Loan Assumptions</t>
  </si>
  <si>
    <t>Commercial Loan Interest rate</t>
  </si>
  <si>
    <t>Commercial Loan Term in Months</t>
  </si>
  <si>
    <t>Commercial Mortgage Interest rate</t>
  </si>
  <si>
    <t>Commercial Mortgage Term in Months</t>
  </si>
  <si>
    <t>Income Statement</t>
  </si>
  <si>
    <t>Gross Margin as a Percent of Sales</t>
  </si>
  <si>
    <t>Owner's Compensation Lower Limit Check</t>
  </si>
  <si>
    <t>Owner's Compensation Upper Limit Check</t>
  </si>
  <si>
    <t>Advertising Expense Levels as a Percent of Sales</t>
  </si>
  <si>
    <t>Profitability Levels</t>
  </si>
  <si>
    <t>Profitability as a Percent of Sales</t>
  </si>
  <si>
    <t>Cash Flow Statement</t>
  </si>
  <si>
    <t>Desired Operating cash Flow Levels</t>
  </si>
  <si>
    <t>Accounts Receivable Ratio to Sales</t>
  </si>
  <si>
    <t>Balance Sheet</t>
  </si>
  <si>
    <t>Debt to Equity Ratio</t>
  </si>
  <si>
    <t>Annual Totals</t>
  </si>
  <si>
    <t>Complete This Chart First:</t>
  </si>
  <si>
    <t>Line Item</t>
  </si>
  <si>
    <t>Beginning Balance</t>
  </si>
  <si>
    <t>Preparer Name</t>
  </si>
  <si>
    <t>Sales Forecast Year 1-3</t>
  </si>
  <si>
    <t>Full-Time Employees</t>
  </si>
  <si>
    <t>Part-Time Employees</t>
  </si>
  <si>
    <t>Independent Contractors</t>
  </si>
  <si>
    <t>Total Salaries and Wages</t>
  </si>
  <si>
    <t>Payroll Taxes and Benefits</t>
  </si>
  <si>
    <t>Social Security</t>
  </si>
  <si>
    <t>Medicare</t>
  </si>
  <si>
    <t>Federal Unemployment Tax (FUTA)</t>
  </si>
  <si>
    <t>State Unemployment Tax (SUTA)</t>
  </si>
  <si>
    <t>Employee Pension Programs</t>
  </si>
  <si>
    <t>Worker's Compensation</t>
  </si>
  <si>
    <t>Employee Health Insurance</t>
  </si>
  <si>
    <t>Other Employee Benefit Programs</t>
  </si>
  <si>
    <t>Total Payroll Taxes and Benefits</t>
  </si>
  <si>
    <t>Total Salaries and Related Expenses</t>
  </si>
  <si>
    <t>Cost of Goods Sold Per Unit</t>
  </si>
  <si>
    <t xml:space="preserve">Total Product Expenses </t>
  </si>
  <si>
    <t xml:space="preserve">Total Service Expenses </t>
  </si>
  <si>
    <t>Total Cost of Goods Sold</t>
  </si>
  <si>
    <t>COGS Per Unit</t>
  </si>
  <si>
    <t>Margin</t>
  </si>
  <si>
    <t>Total Units Sold</t>
  </si>
  <si>
    <t>Total Sales</t>
  </si>
  <si>
    <t>Total Margin</t>
  </si>
  <si>
    <t>Category / Total</t>
  </si>
  <si>
    <t>Labor used to produce product</t>
  </si>
  <si>
    <t>Costs associated with shipping and storing raw materials</t>
  </si>
  <si>
    <t>Production facility expenses (use fraction of total if facility is used for other items)</t>
  </si>
  <si>
    <t xml:space="preserve">Raw materials </t>
  </si>
  <si>
    <t>Number Units Sold in timeframe used</t>
  </si>
  <si>
    <t>Timeframe:</t>
  </si>
  <si>
    <t>Month</t>
  </si>
  <si>
    <t>Growth Rate 1 to 2</t>
  </si>
  <si>
    <t>Growth Rate 2 to 3</t>
  </si>
  <si>
    <t>Owner(s)</t>
  </si>
  <si>
    <t>Percentage</t>
  </si>
  <si>
    <t>Percentage of Salary/Wage</t>
  </si>
  <si>
    <t>Cash Sales</t>
  </si>
  <si>
    <t>Net Cash Flows</t>
  </si>
  <si>
    <t>Total Current Assets</t>
  </si>
  <si>
    <t>List any other variable costs associated with the delivery of your service during this timeframe.</t>
  </si>
  <si>
    <t/>
  </si>
  <si>
    <t>Project</t>
  </si>
  <si>
    <t>Prepared By:</t>
  </si>
  <si>
    <t>Company Name:</t>
  </si>
  <si>
    <t>COGS Calculator</t>
  </si>
  <si>
    <t xml:space="preserve">Prepared by: </t>
  </si>
  <si>
    <t>Gross Margin</t>
  </si>
  <si>
    <t>Operating Expenses</t>
  </si>
  <si>
    <t>Net Income/Loss</t>
  </si>
  <si>
    <t>Total Revenue</t>
  </si>
  <si>
    <t>Revenue</t>
  </si>
  <si>
    <t>Liabilities</t>
  </si>
  <si>
    <t>Step 1 - Enter info about your company in yellow shaded boxes below.</t>
  </si>
  <si>
    <t>Number Units Sold During Timeframe</t>
  </si>
  <si>
    <t>Other Expenses</t>
  </si>
  <si>
    <t>Total Funding Needed</t>
  </si>
  <si>
    <t>Credit Card Debt</t>
  </si>
  <si>
    <t>Vehicle Loans</t>
  </si>
  <si>
    <t>Other Bank Debt</t>
  </si>
  <si>
    <t>Car and Truck Expenses</t>
  </si>
  <si>
    <t>Commissions and Fees</t>
  </si>
  <si>
    <t xml:space="preserve">Depreciation </t>
  </si>
  <si>
    <t>Insurance (other than health)</t>
  </si>
  <si>
    <t>Legal and Professional Services</t>
  </si>
  <si>
    <t>Office Expense</t>
  </si>
  <si>
    <t>Rent or Lease -- Vehicles, Machinery, Equipment</t>
  </si>
  <si>
    <t>Rent or Lease -- Other Business Property</t>
  </si>
  <si>
    <t>Repairs and Maintenance</t>
  </si>
  <si>
    <t>Travel, Meals and Entertainment</t>
  </si>
  <si>
    <t>Depreciation (years)</t>
  </si>
  <si>
    <t>Total Other Expenses</t>
  </si>
  <si>
    <t>Total Fixed Operating Expenses</t>
  </si>
  <si>
    <t>Taxes</t>
  </si>
  <si>
    <t>Principal Amount</t>
  </si>
  <si>
    <t>Interest Rate</t>
  </si>
  <si>
    <t>Loan Term in Months</t>
  </si>
  <si>
    <t>Monthly Payment Amount</t>
  </si>
  <si>
    <t>Year One</t>
  </si>
  <si>
    <t>Principal</t>
  </si>
  <si>
    <t>Loan Balance</t>
  </si>
  <si>
    <t>Year Two</t>
  </si>
  <si>
    <t>Year Three</t>
  </si>
  <si>
    <t>Cash</t>
  </si>
  <si>
    <t>Contract Labor (Not included in payroll)</t>
  </si>
  <si>
    <t>Employee Types</t>
  </si>
  <si>
    <t>Expenses</t>
  </si>
  <si>
    <t>Line of Credit Drawdown</t>
  </si>
  <si>
    <t>Total  Liabilities</t>
  </si>
  <si>
    <t>Liquidity</t>
  </si>
  <si>
    <t>Current Ratio</t>
  </si>
  <si>
    <t>Quick Ratio</t>
  </si>
  <si>
    <t>Safety</t>
  </si>
  <si>
    <t>Profitability</t>
  </si>
  <si>
    <t xml:space="preserve">Sales Growth </t>
  </si>
  <si>
    <t>COGS to Sales</t>
  </si>
  <si>
    <t>Gross Profit Margin</t>
  </si>
  <si>
    <t>SG&amp;A to Sales</t>
  </si>
  <si>
    <t>Net Profit Margin</t>
  </si>
  <si>
    <t>Return on Assets</t>
  </si>
  <si>
    <t>Owner's Compensation to Sales</t>
  </si>
  <si>
    <t>Efficiency</t>
  </si>
  <si>
    <t>Days in Receivables</t>
  </si>
  <si>
    <t>Accounts Receivable Turnover</t>
  </si>
  <si>
    <t>Days in Inventory</t>
  </si>
  <si>
    <t>Inventory Turnover</t>
  </si>
  <si>
    <t>Sales to Total Assets</t>
  </si>
  <si>
    <t>Ratios</t>
  </si>
  <si>
    <t>Total Equity</t>
  </si>
  <si>
    <t>Line of Credit Assumptions</t>
  </si>
  <si>
    <t>Desired Minimum Cash Balance</t>
  </si>
  <si>
    <t>Line of Credit Interest Rate</t>
  </si>
  <si>
    <t>Line of Credit Balance</t>
  </si>
  <si>
    <t>Line of Credit Interest</t>
  </si>
  <si>
    <t>Line of Credit Repayments</t>
  </si>
  <si>
    <t xml:space="preserve"> Industry Norms</t>
  </si>
  <si>
    <t>Return on Equity (ROE)</t>
  </si>
  <si>
    <t>Starting Year</t>
  </si>
  <si>
    <t>Starting Month</t>
  </si>
  <si>
    <t>Year 1 Totals</t>
  </si>
  <si>
    <t>Year 2 Totals</t>
  </si>
  <si>
    <t>Year 3 Totals</t>
  </si>
  <si>
    <t>Number of Owners /Employees</t>
  </si>
  <si>
    <t>Start-up Expenses Year 1 (Starting Balance Sheet)</t>
  </si>
  <si>
    <t>Payroll</t>
  </si>
  <si>
    <t>Product Lines</t>
  </si>
  <si>
    <t>Sales Price Per Unit</t>
  </si>
  <si>
    <t>Total COGS</t>
  </si>
  <si>
    <t>Margin Per Unit</t>
  </si>
  <si>
    <t>Category Breakdown</t>
  </si>
  <si>
    <t>Widget</t>
  </si>
  <si>
    <t>Product Line:</t>
  </si>
  <si>
    <t>Amount spent on labor during timeframe</t>
  </si>
  <si>
    <t>Amount spent on materials during this timeframe</t>
  </si>
  <si>
    <t xml:space="preserve">Miscellaneous </t>
  </si>
  <si>
    <t>Total Additional Fixed Assets</t>
  </si>
  <si>
    <t>Year 2 Total</t>
  </si>
  <si>
    <t>Year 3 Total</t>
  </si>
  <si>
    <t>Breakeven Sales in Dollars (Annual)</t>
  </si>
  <si>
    <t>Monthly</t>
  </si>
  <si>
    <t>Total Operating Expenses</t>
  </si>
  <si>
    <t xml:space="preserve">Accounts Receivable </t>
  </si>
  <si>
    <t>Operating Cash Balance</t>
  </si>
  <si>
    <t>Existing Businesses ONLY -- Calculating Cash on Hand</t>
  </si>
  <si>
    <t>Total Cash on Hand</t>
  </si>
  <si>
    <t>Payroll Years 1-3</t>
  </si>
  <si>
    <t>Diagnostic Tools - Year 1</t>
  </si>
  <si>
    <t>Financial Ratios - Year 1</t>
  </si>
  <si>
    <t>Net Income Before Income Tax</t>
  </si>
  <si>
    <t>Income Tax</t>
  </si>
  <si>
    <t xml:space="preserve">Gross Margin % of Sales </t>
  </si>
  <si>
    <t>Gross Margin/Total Sales</t>
  </si>
  <si>
    <t xml:space="preserve">Total Fixed Expenses </t>
  </si>
  <si>
    <t>Operating + Payroll</t>
  </si>
  <si>
    <t>Gross Margin % of Sales</t>
  </si>
  <si>
    <t>Return to Sales Forecast Year 1</t>
  </si>
  <si>
    <t>Return to Starting Point</t>
  </si>
  <si>
    <t>Amortization &amp; Depreciation Schedule</t>
  </si>
  <si>
    <t>Starting Depreciation</t>
  </si>
  <si>
    <t>Additional Depreciation</t>
  </si>
  <si>
    <t>Ending Depreciation</t>
  </si>
  <si>
    <t>See Loan Amortization &amp; Depreciation Schedule</t>
  </si>
  <si>
    <t>Year 1</t>
  </si>
  <si>
    <t>Year 2</t>
  </si>
  <si>
    <t>Year 3</t>
  </si>
  <si>
    <t>+ Prepaid Expenses</t>
  </si>
  <si>
    <t>+ Accounts Receivable</t>
  </si>
  <si>
    <t xml:space="preserve">- Accounts Payable </t>
  </si>
  <si>
    <t>- Accrued Expenses</t>
  </si>
  <si>
    <t>Additional Fixed Assets Purchases</t>
  </si>
  <si>
    <t>Income Tax Assumptions</t>
  </si>
  <si>
    <t xml:space="preserve">Line of Credit </t>
  </si>
  <si>
    <t>Cell D 42 must equal cell C31</t>
  </si>
  <si>
    <t>Amortization of Start-Up Costs</t>
  </si>
  <si>
    <t>Wage Base Limit</t>
  </si>
  <si>
    <t>--</t>
  </si>
  <si>
    <t>Operating Activities</t>
  </si>
  <si>
    <t>Prepaid Expenses</t>
  </si>
  <si>
    <t>Dividends Paid</t>
  </si>
  <si>
    <t>Equity</t>
  </si>
  <si>
    <t>Common Stock</t>
  </si>
  <si>
    <t>Retained Earnings</t>
  </si>
  <si>
    <t>LIABILITIES &amp; EQUITY</t>
  </si>
  <si>
    <t>Real Estate -- Land</t>
  </si>
  <si>
    <t>Current Assets</t>
  </si>
  <si>
    <t xml:space="preserve">Other </t>
  </si>
  <si>
    <t>Other Expense 1</t>
  </si>
  <si>
    <t>Other Expense 2</t>
  </si>
  <si>
    <t>Accounts Payable</t>
  </si>
  <si>
    <t>Accounts Payable (A/P)</t>
  </si>
  <si>
    <t>Percent of Collections</t>
  </si>
  <si>
    <t>Paid within 30 days</t>
  </si>
  <si>
    <t>Paid between 30 and 60 days</t>
  </si>
  <si>
    <t>Paid in more than 60 days</t>
  </si>
  <si>
    <t>Percent of Disbursements</t>
  </si>
  <si>
    <t>Bad Debt Expense</t>
  </si>
  <si>
    <t>Line of Credit</t>
  </si>
  <si>
    <t>Accounts Receivable</t>
  </si>
  <si>
    <t>New Fixed Asset Purchases</t>
  </si>
  <si>
    <t>Additional Inventory</t>
  </si>
  <si>
    <t>Amortization Period in Years</t>
  </si>
  <si>
    <t>Other Initial Costs</t>
  </si>
  <si>
    <t>Total Expensed each Year</t>
  </si>
  <si>
    <t>Amount Amortized</t>
  </si>
  <si>
    <t>Amortized Start-up Expenses</t>
  </si>
  <si>
    <t>Commercial Loan Balance</t>
  </si>
  <si>
    <t>Commercial Mortgage Balance</t>
  </si>
  <si>
    <t>Credit Card Debt Balance</t>
  </si>
  <si>
    <t>Vehicle Loans Balance</t>
  </si>
  <si>
    <t>Other Bank Debt Balance</t>
  </si>
  <si>
    <t>(Less Accumulated Depreciation)</t>
  </si>
  <si>
    <t>Income Tax Calculations</t>
  </si>
  <si>
    <t>Monthly Taxable Income</t>
  </si>
  <si>
    <t>Dividends Dispersed/Owners Draw</t>
  </si>
  <si>
    <t>Estimated Pay/Month (Total)</t>
  </si>
  <si>
    <t>Estimated Taxes &amp; Benefits/Month (Total)</t>
  </si>
  <si>
    <t>Units</t>
  </si>
  <si>
    <t>This should equal 100%  ----&gt;</t>
  </si>
  <si>
    <t>Variable Costs of Products</t>
  </si>
  <si>
    <t>Variable Costs of Services</t>
  </si>
  <si>
    <t>Monthly Breakeven Amount</t>
  </si>
  <si>
    <t>Debt-Service Coverage Ratio - DSCR</t>
  </si>
  <si>
    <t>Debt-Service Coverage</t>
  </si>
  <si>
    <t>Line of Credit Drawdowns</t>
  </si>
  <si>
    <t>Does the Year 1 Balance Sheet Balance?</t>
  </si>
  <si>
    <t>Do Sales Exceed the Breakeven Level?</t>
  </si>
  <si>
    <t>Net Profit/Loss</t>
  </si>
  <si>
    <t>Month 1</t>
  </si>
  <si>
    <t>Month 2</t>
  </si>
  <si>
    <t>Month 3</t>
  </si>
  <si>
    <t>Month 4</t>
  </si>
  <si>
    <t>Month 5</t>
  </si>
  <si>
    <t>Month 6</t>
  </si>
  <si>
    <t>Month 7</t>
  </si>
  <si>
    <t>Month 8</t>
  </si>
  <si>
    <t>Month 9</t>
  </si>
  <si>
    <t>Month 10</t>
  </si>
  <si>
    <t>Month 11</t>
  </si>
  <si>
    <t>Month 12</t>
  </si>
  <si>
    <t>Total</t>
  </si>
  <si>
    <t>Operating Expenses Year 1</t>
  </si>
  <si>
    <t>Operating Expenses Years 1-3</t>
  </si>
  <si>
    <t>Additional Inputs</t>
  </si>
  <si>
    <t>Accounts Receivable (A/R) Days Sales Outstanding</t>
  </si>
  <si>
    <t>Cash Flow Forecast Year 1</t>
  </si>
  <si>
    <t>Income Statement Years 1-3</t>
  </si>
  <si>
    <t>Income Statement Year 1</t>
  </si>
  <si>
    <t>Balance Sheet Years 1-3</t>
  </si>
  <si>
    <t>Ending Deprecation</t>
  </si>
  <si>
    <t>Total Amortized</t>
  </si>
  <si>
    <t>Cash Flow Forecast Years 1-3</t>
  </si>
  <si>
    <t>Payroll Year 1</t>
  </si>
  <si>
    <t>Estimated Hrs./Week (per person)</t>
  </si>
  <si>
    <t>Cumulative Taxable Income</t>
  </si>
  <si>
    <t>Average Hourly Pay (to 2 decimal places, ex. $15.23)</t>
  </si>
  <si>
    <t>Income Taxes</t>
  </si>
  <si>
    <t>Taxable Amount Year 2</t>
  </si>
  <si>
    <t>Taxable Amount Year 3</t>
  </si>
  <si>
    <t>Income (Before Other Expenses)</t>
  </si>
  <si>
    <t>Yearly Breakeven Amount</t>
  </si>
  <si>
    <t>Breakeven Analysis Year 1</t>
  </si>
  <si>
    <t>Real Estate-Buildings</t>
  </si>
  <si>
    <t>Real Estate</t>
  </si>
  <si>
    <t>Real Estate -- Buildings</t>
  </si>
  <si>
    <t>Not Depreciated</t>
  </si>
  <si>
    <t>Effective Income Tax Rate - Year 1</t>
  </si>
  <si>
    <t>Effective Income Tax Rate - Year 2</t>
  </si>
  <si>
    <t>Effective Income Tax Rate - Year 3</t>
  </si>
  <si>
    <t>Sales Forecast Year 1                                                      Q1</t>
  </si>
  <si>
    <t xml:space="preserve">                  Q2</t>
  </si>
  <si>
    <t xml:space="preserve">                Q3</t>
  </si>
  <si>
    <t xml:space="preserve">                                Q4</t>
  </si>
  <si>
    <t>Monthly Growth Rate by Qtr Yr1</t>
  </si>
  <si>
    <t xml:space="preserve">Monthly Growth Rate Year 2  </t>
  </si>
  <si>
    <t xml:space="preserve">Monthly  Growth  Rate Year  3  </t>
  </si>
  <si>
    <t>Dave Johnson</t>
  </si>
  <si>
    <t>Dave's Famous Pretzels</t>
  </si>
  <si>
    <t>January</t>
  </si>
  <si>
    <t>Pretzels</t>
  </si>
  <si>
    <t>Coffee</t>
  </si>
  <si>
    <t>Sodas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</si>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</sst>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
    <numFmt numFmtId="167" formatCode="0_);[Red]\(0\)"/>
    <numFmt numFmtId="168" formatCode="&quot;$&quot;#,##0.00"/>
    <numFmt numFmtId="169" formatCode="0.0"/>
  </numFmts>
  <fonts count="69" x14ac:knownFonts="1">
    <font>
      <sz val="11"/>
      <color theme="1"/>
      <name val="Calibri"/>
      <family val="2"/>
      <scheme val="minor"/>
    </font>
    <font>
      <sz val="11"/>
      <name val="Arial"/>
      <family val="2"/>
    </font>
    <font>
      <b/>
      <sz val="18"/>
      <name val="Arial"/>
      <family val="2"/>
    </font>
    <font>
      <sz val="8"/>
      <name val="Calibri"/>
      <family val="2"/>
    </font>
    <font>
      <sz val="9"/>
      <color indexed="81"/>
      <name val="Tahoma"/>
      <family val="2"/>
    </font>
    <font>
      <b/>
      <sz val="9"/>
      <color indexed="81"/>
      <name val="Tahoma"/>
      <family val="2"/>
    </font>
    <font>
      <sz val="11"/>
      <color indexed="8"/>
      <name val="Gill Sans MT"/>
      <family val="2"/>
    </font>
    <font>
      <sz val="9"/>
      <name val="Gill Sans MT"/>
      <family val="2"/>
    </font>
    <font>
      <sz val="11"/>
      <name val="Gill Sans MT"/>
      <family val="2"/>
    </font>
    <font>
      <b/>
      <sz val="9"/>
      <name val="Gill Sans MT"/>
      <family val="2"/>
    </font>
    <font>
      <b/>
      <sz val="9"/>
      <color indexed="10"/>
      <name val="Gill Sans MT"/>
      <family val="2"/>
    </font>
    <font>
      <b/>
      <sz val="11"/>
      <color indexed="81"/>
      <name val="Gill Sans MT"/>
      <family val="2"/>
    </font>
    <font>
      <sz val="11"/>
      <color indexed="8"/>
      <name val="Calibri"/>
      <family val="2"/>
    </font>
    <font>
      <sz val="11"/>
      <color indexed="8"/>
      <name val="Gill Sans MT"/>
      <family val="2"/>
    </font>
    <font>
      <b/>
      <sz val="11"/>
      <color indexed="8"/>
      <name val="Gill Sans MT"/>
      <family val="2"/>
    </font>
    <font>
      <sz val="9"/>
      <color indexed="8"/>
      <name val="Gill Sans MT"/>
      <family val="2"/>
    </font>
    <font>
      <b/>
      <sz val="9"/>
      <color indexed="9"/>
      <name val="Gill Sans MT"/>
      <family val="2"/>
    </font>
    <font>
      <sz val="9"/>
      <color indexed="9"/>
      <name val="Gill Sans MT"/>
      <family val="2"/>
    </font>
    <font>
      <sz val="11"/>
      <color indexed="81"/>
      <name val="Gill Sans MT"/>
      <family val="2"/>
    </font>
    <font>
      <b/>
      <sz val="8"/>
      <color indexed="81"/>
      <name val="Tahoma"/>
      <family val="2"/>
    </font>
    <font>
      <u/>
      <sz val="11"/>
      <color theme="10"/>
      <name val="Calibri"/>
      <family val="2"/>
      <scheme val="minor"/>
    </font>
    <font>
      <b/>
      <sz val="9"/>
      <name val="Arial"/>
      <family val="2"/>
    </font>
    <font>
      <sz val="9"/>
      <name val="Arial"/>
      <family val="2"/>
    </font>
    <font>
      <b/>
      <sz val="9"/>
      <color indexed="8"/>
      <name val="Gill Sans MT"/>
      <family val="2"/>
    </font>
    <font>
      <b/>
      <sz val="9"/>
      <color indexed="57"/>
      <name val="Gill Sans MT"/>
      <family val="2"/>
    </font>
    <font>
      <sz val="9"/>
      <color theme="1"/>
      <name val="Gill Sans MT"/>
      <family val="2"/>
    </font>
    <font>
      <b/>
      <i/>
      <sz val="9"/>
      <color indexed="8"/>
      <name val="Gill Sans MT"/>
      <family val="2"/>
    </font>
    <font>
      <u/>
      <sz val="9"/>
      <name val="Calibri"/>
      <family val="2"/>
    </font>
    <font>
      <sz val="9"/>
      <color indexed="30"/>
      <name val="Gill Sans MT"/>
      <family val="2"/>
    </font>
    <font>
      <sz val="9"/>
      <color indexed="57"/>
      <name val="Gill Sans MT"/>
      <family val="2"/>
    </font>
    <font>
      <b/>
      <sz val="7"/>
      <name val="Gill Sans MT"/>
      <family val="2"/>
    </font>
    <font>
      <sz val="9"/>
      <name val="Calibri"/>
      <family val="2"/>
      <scheme val="minor"/>
    </font>
    <font>
      <u/>
      <sz val="9"/>
      <color indexed="9"/>
      <name val="Gill Sans MT"/>
      <family val="2"/>
    </font>
    <font>
      <u/>
      <sz val="9"/>
      <name val="Gill Sans MT"/>
      <family val="2"/>
    </font>
    <font>
      <sz val="9"/>
      <color indexed="10"/>
      <name val="Gill Sans MT"/>
      <family val="2"/>
    </font>
    <font>
      <b/>
      <sz val="9"/>
      <color indexed="11"/>
      <name val="Gill Sans MT"/>
      <family val="2"/>
    </font>
    <font>
      <b/>
      <sz val="11"/>
      <name val="Gill Sans MT"/>
      <family val="2"/>
    </font>
    <font>
      <b/>
      <u/>
      <sz val="9"/>
      <color indexed="9"/>
      <name val="Gill Sans MT"/>
      <family val="2"/>
    </font>
    <font>
      <b/>
      <sz val="9"/>
      <color rgb="FF44C8F5"/>
      <name val="Gill Sans MT"/>
      <family val="2"/>
    </font>
    <font>
      <b/>
      <sz val="11"/>
      <color theme="3"/>
      <name val="Gill Sans MT"/>
      <family val="2"/>
    </font>
    <font>
      <b/>
      <sz val="9"/>
      <color theme="3"/>
      <name val="Gill Sans MT"/>
      <family val="2"/>
    </font>
    <font>
      <sz val="9"/>
      <color theme="3"/>
      <name val="Gill Sans MT"/>
      <family val="2"/>
    </font>
    <font>
      <sz val="10"/>
      <color indexed="8"/>
      <name val="Gill Sans MT"/>
      <family val="2"/>
    </font>
    <font>
      <b/>
      <sz val="10"/>
      <name val="Gill Sans MT"/>
      <family val="2"/>
    </font>
    <font>
      <b/>
      <sz val="10"/>
      <color indexed="57"/>
      <name val="Gill Sans MT"/>
      <family val="2"/>
    </font>
    <font>
      <b/>
      <sz val="10"/>
      <color indexed="8"/>
      <name val="Gill Sans MT"/>
      <family val="2"/>
    </font>
    <font>
      <sz val="10"/>
      <name val="Gill Sans MT"/>
      <family val="2"/>
    </font>
    <font>
      <b/>
      <sz val="10"/>
      <color theme="3"/>
      <name val="Gill Sans MT"/>
      <family val="2"/>
    </font>
    <font>
      <b/>
      <sz val="10"/>
      <color indexed="9"/>
      <name val="Gill Sans MT"/>
      <family val="2"/>
    </font>
    <font>
      <b/>
      <sz val="10"/>
      <color indexed="10"/>
      <name val="Gill Sans MT"/>
      <family val="2"/>
    </font>
    <font>
      <u/>
      <sz val="10"/>
      <name val="Calibri"/>
      <family val="2"/>
    </font>
    <font>
      <b/>
      <sz val="10"/>
      <color indexed="12"/>
      <name val="Gill Sans MT"/>
      <family val="2"/>
    </font>
    <font>
      <b/>
      <sz val="10"/>
      <color indexed="10"/>
      <name val="Arial"/>
      <family val="2"/>
    </font>
    <font>
      <sz val="11"/>
      <color theme="1"/>
      <name val="Calibri"/>
      <family val="2"/>
      <scheme val="minor"/>
    </font>
    <font>
      <sz val="11"/>
      <color theme="0"/>
      <name val="Gill Sans MT"/>
      <family val="2"/>
    </font>
    <font>
      <sz val="10"/>
      <color theme="0"/>
      <name val="Arial"/>
      <family val="2"/>
    </font>
    <font>
      <sz val="9"/>
      <color theme="0"/>
      <name val="Gill Sans MT"/>
      <family val="2"/>
    </font>
    <font>
      <b/>
      <sz val="9"/>
      <color theme="0"/>
      <name val="Gill Sans MT"/>
      <family val="2"/>
    </font>
    <font>
      <sz val="11"/>
      <color theme="1"/>
      <name val="Gill Sans MT"/>
      <family val="2"/>
    </font>
    <font>
      <i/>
      <sz val="11"/>
      <color indexed="8"/>
      <name val="Gill Sans MT"/>
      <family val="2"/>
    </font>
    <font>
      <sz val="9"/>
      <color rgb="FF000000"/>
      <name val="Gill Sans MT"/>
      <family val="2"/>
    </font>
    <font>
      <sz val="10"/>
      <color rgb="FF000000"/>
      <name val="Gill Sans MT"/>
      <family val="2"/>
    </font>
    <font>
      <sz val="9"/>
      <color rgb="FF000000"/>
      <name val="Tahoma"/>
      <family val="2"/>
    </font>
    <font>
      <sz val="11"/>
      <color rgb="FF000000"/>
      <name val="Gill Sans MT"/>
      <family val="2"/>
    </font>
    <font>
      <b/>
      <sz val="14"/>
      <color rgb="FF000000"/>
      <name val="Gill Sans MT"/>
      <family val="2"/>
    </font>
    <font>
      <b/>
      <sz val="9"/>
      <color rgb="FF000000"/>
      <name val="Tahoma"/>
      <family val="2"/>
    </font>
    <font>
      <b/>
      <sz val="11"/>
      <color rgb="FF000000"/>
      <name val="Gill Sans MT"/>
      <family val="2"/>
    </font>
    <font>
      <b/>
      <sz val="11"/>
      <color rgb="FF000000"/>
      <name val="Arial Black"/>
      <family val="2"/>
    </font>
    <font>
      <b/>
      <sz val="8"/>
      <color rgb="FF000000"/>
      <name val="Tahoma"/>
      <family val="2"/>
    </font>
  </fonts>
  <fills count="14">
    <fill>
      <patternFill patternType="none"/>
    </fill>
    <fill>
      <patternFill patternType="gray125"/>
    </fill>
    <fill>
      <patternFill patternType="solid">
        <fgColor indexed="21"/>
      </patternFill>
    </fill>
    <fill>
      <patternFill patternType="solid">
        <fgColor indexed="38"/>
      </patternFill>
    </fill>
    <fill>
      <patternFill patternType="solid">
        <fgColor indexed="9"/>
        <bgColor indexed="9"/>
      </patternFill>
    </fill>
    <fill>
      <patternFill patternType="solid">
        <fgColor indexed="9"/>
        <bgColor indexed="64"/>
      </patternFill>
    </fill>
    <fill>
      <patternFill patternType="solid">
        <fgColor indexed="43"/>
        <bgColor indexed="64"/>
      </patternFill>
    </fill>
    <fill>
      <patternFill patternType="solid">
        <fgColor rgb="FF44C8F5"/>
        <bgColor indexed="64"/>
      </patternFill>
    </fill>
    <fill>
      <patternFill patternType="solid">
        <fgColor rgb="FFFFC95B"/>
        <bgColor indexed="64"/>
      </patternFill>
    </fill>
    <fill>
      <patternFill patternType="solid">
        <fgColor theme="9"/>
        <bgColor indexed="64"/>
      </patternFill>
    </fill>
    <fill>
      <patternFill patternType="solid">
        <fgColor rgb="FF8ACC9E"/>
        <bgColor indexed="64"/>
      </patternFill>
    </fill>
    <fill>
      <patternFill patternType="solid">
        <fgColor theme="4"/>
        <bgColor indexed="64"/>
      </patternFill>
    </fill>
    <fill>
      <patternFill patternType="solid">
        <fgColor theme="0"/>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ck">
        <color theme="3"/>
      </bottom>
      <diagonal/>
    </border>
    <border>
      <left/>
      <right style="thin">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ck">
        <color theme="3"/>
      </bottom>
      <diagonal/>
    </border>
    <border>
      <left/>
      <right/>
      <top style="thin">
        <color indexed="64"/>
      </top>
      <bottom style="thick">
        <color theme="3"/>
      </bottom>
      <diagonal/>
    </border>
    <border>
      <left/>
      <right style="medium">
        <color indexed="64"/>
      </right>
      <top style="thin">
        <color indexed="64"/>
      </top>
      <bottom style="thick">
        <color theme="3"/>
      </bottom>
      <diagonal/>
    </border>
    <border>
      <left style="thin">
        <color indexed="64"/>
      </left>
      <right style="thin">
        <color indexed="64"/>
      </right>
      <top style="thin">
        <color indexed="64"/>
      </top>
      <bottom style="thick">
        <color rgb="FF0070C0"/>
      </bottom>
      <diagonal/>
    </border>
    <border>
      <left style="thin">
        <color indexed="64"/>
      </left>
      <right/>
      <top style="thin">
        <color indexed="64"/>
      </top>
      <bottom style="thick">
        <color rgb="FF0070C0"/>
      </bottom>
      <diagonal/>
    </border>
  </borders>
  <cellStyleXfs count="13">
    <xf numFmtId="0" fontId="0" fillId="0" borderId="0"/>
    <xf numFmtId="43" fontId="12" fillId="0" borderId="0" applyFont="0" applyFill="0" applyBorder="0" applyAlignment="0" applyProtection="0"/>
    <xf numFmtId="44" fontId="12" fillId="0" borderId="0" applyFont="0" applyFill="0" applyBorder="0" applyAlignment="0" applyProtection="0"/>
    <xf numFmtId="0" fontId="20" fillId="0" borderId="0" applyNumberFormat="0" applyFill="0" applyBorder="0" applyAlignment="0" applyProtection="0"/>
    <xf numFmtId="0" fontId="1" fillId="2" borderId="0"/>
    <xf numFmtId="9" fontId="12" fillId="0" borderId="0" applyFont="0" applyFill="0" applyBorder="0" applyAlignment="0" applyProtection="0"/>
    <xf numFmtId="0" fontId="2" fillId="3" borderId="0"/>
    <xf numFmtId="49" fontId="9" fillId="10" borderId="1" applyProtection="0">
      <alignment wrapText="1"/>
    </xf>
    <xf numFmtId="1" fontId="8" fillId="11" borderId="15" applyAlignment="0" applyProtection="0"/>
    <xf numFmtId="1" fontId="36" fillId="9" borderId="15" applyAlignment="0" applyProtection="0"/>
    <xf numFmtId="43" fontId="53" fillId="0" borderId="0" applyFont="0" applyFill="0" applyBorder="0" applyAlignment="0" applyProtection="0"/>
    <xf numFmtId="44" fontId="53" fillId="0" borderId="0" applyFont="0" applyFill="0" applyBorder="0" applyAlignment="0" applyProtection="0"/>
    <xf numFmtId="9" fontId="53" fillId="0" borderId="0" applyFont="0" applyFill="0" applyBorder="0" applyAlignment="0" applyProtection="0"/>
  </cellStyleXfs>
  <cellXfs count="521">
    <xf numFmtId="0" fontId="0" fillId="0" borderId="0" xfId="0"/>
    <xf numFmtId="0" fontId="13" fillId="0" borderId="0" xfId="0" applyFont="1"/>
    <xf numFmtId="0" fontId="14" fillId="0" borderId="0" xfId="0" applyFont="1"/>
    <xf numFmtId="0" fontId="6" fillId="0" borderId="0" xfId="4" applyFont="1" applyFill="1"/>
    <xf numFmtId="0" fontId="13" fillId="0" borderId="0" xfId="0" applyFont="1" applyAlignment="1">
      <alignment horizontal="right"/>
    </xf>
    <xf numFmtId="0" fontId="7" fillId="0" borderId="0" xfId="0" applyFont="1"/>
    <xf numFmtId="0" fontId="10" fillId="0" borderId="0" xfId="0" applyFont="1"/>
    <xf numFmtId="0" fontId="7" fillId="0" borderId="1" xfId="0" applyFont="1" applyBorder="1"/>
    <xf numFmtId="0" fontId="7" fillId="0" borderId="0" xfId="0" applyFont="1" applyAlignment="1">
      <alignment vertical="center" wrapText="1"/>
    </xf>
    <xf numFmtId="0" fontId="9" fillId="0" borderId="0" xfId="0" applyFont="1"/>
    <xf numFmtId="0" fontId="9" fillId="0" borderId="0" xfId="0" applyFont="1" applyAlignment="1">
      <alignment horizontal="right"/>
    </xf>
    <xf numFmtId="10" fontId="7" fillId="0" borderId="0" xfId="5" applyNumberFormat="1" applyFont="1" applyFill="1" applyBorder="1"/>
    <xf numFmtId="164" fontId="7" fillId="0" borderId="0" xfId="1" applyNumberFormat="1" applyFont="1" applyFill="1" applyBorder="1"/>
    <xf numFmtId="0" fontId="7" fillId="0" borderId="1" xfId="5" applyNumberFormat="1" applyFont="1" applyFill="1" applyBorder="1"/>
    <xf numFmtId="0" fontId="7" fillId="0" borderId="1" xfId="1" applyNumberFormat="1" applyFont="1" applyFill="1" applyBorder="1"/>
    <xf numFmtId="0" fontId="7" fillId="0" borderId="1" xfId="1" applyNumberFormat="1" applyFont="1" applyFill="1" applyBorder="1" applyAlignment="1">
      <alignment horizontal="left"/>
    </xf>
    <xf numFmtId="44" fontId="7" fillId="0" borderId="0" xfId="2" applyFont="1" applyBorder="1" applyAlignment="1">
      <alignment vertical="center" wrapText="1"/>
    </xf>
    <xf numFmtId="44" fontId="7" fillId="0" borderId="0" xfId="2" applyFont="1"/>
    <xf numFmtId="44" fontId="7" fillId="0" borderId="0" xfId="2" applyFont="1" applyFill="1"/>
    <xf numFmtId="0" fontId="7" fillId="0" borderId="0" xfId="0" applyFont="1" applyAlignment="1">
      <alignment vertical="center"/>
    </xf>
    <xf numFmtId="44" fontId="7" fillId="0" borderId="0" xfId="2" applyFont="1" applyFill="1" applyBorder="1" applyAlignment="1">
      <alignment vertical="center" wrapText="1"/>
    </xf>
    <xf numFmtId="166" fontId="9" fillId="0" borderId="1" xfId="5" applyNumberFormat="1" applyFont="1" applyFill="1" applyBorder="1"/>
    <xf numFmtId="164" fontId="9" fillId="0" borderId="1" xfId="0" applyNumberFormat="1" applyFont="1" applyBorder="1"/>
    <xf numFmtId="37" fontId="9" fillId="0" borderId="1" xfId="5" applyNumberFormat="1" applyFont="1" applyFill="1" applyBorder="1"/>
    <xf numFmtId="164" fontId="9" fillId="0" borderId="1" xfId="1" applyNumberFormat="1" applyFont="1" applyFill="1" applyBorder="1"/>
    <xf numFmtId="0" fontId="8" fillId="0" borderId="0" xfId="0" applyFont="1"/>
    <xf numFmtId="0" fontId="9" fillId="0" borderId="1" xfId="0" applyFont="1" applyBorder="1"/>
    <xf numFmtId="43" fontId="7" fillId="0" borderId="1" xfId="0" applyNumberFormat="1" applyFont="1" applyBorder="1"/>
    <xf numFmtId="8" fontId="7" fillId="0" borderId="1" xfId="0" applyNumberFormat="1" applyFont="1" applyBorder="1"/>
    <xf numFmtId="10" fontId="7" fillId="0" borderId="1" xfId="0" applyNumberFormat="1" applyFont="1" applyBorder="1"/>
    <xf numFmtId="41" fontId="7" fillId="0" borderId="1" xfId="0" applyNumberFormat="1" applyFont="1" applyBorder="1"/>
    <xf numFmtId="0" fontId="21" fillId="0" borderId="0" xfId="0" applyFont="1"/>
    <xf numFmtId="0" fontId="22" fillId="0" borderId="0" xfId="0" applyFont="1"/>
    <xf numFmtId="43" fontId="22" fillId="0" borderId="0" xfId="1" applyFont="1" applyFill="1" applyBorder="1"/>
    <xf numFmtId="164" fontId="22" fillId="0" borderId="0" xfId="1" applyNumberFormat="1" applyFont="1" applyFill="1" applyBorder="1"/>
    <xf numFmtId="44" fontId="22" fillId="0" borderId="0" xfId="2" applyFont="1" applyFill="1" applyBorder="1"/>
    <xf numFmtId="42" fontId="9" fillId="0" borderId="1" xfId="0" applyNumberFormat="1" applyFont="1" applyBorder="1"/>
    <xf numFmtId="164" fontId="7" fillId="0" borderId="1" xfId="0" applyNumberFormat="1" applyFont="1" applyBorder="1" applyAlignment="1">
      <alignment horizontal="right"/>
    </xf>
    <xf numFmtId="164" fontId="7" fillId="0" borderId="1" xfId="0" applyNumberFormat="1" applyFont="1" applyBorder="1"/>
    <xf numFmtId="164" fontId="7" fillId="0" borderId="0" xfId="1" applyNumberFormat="1" applyFont="1" applyFill="1"/>
    <xf numFmtId="44" fontId="7" fillId="0" borderId="1" xfId="2" applyFont="1" applyFill="1" applyBorder="1"/>
    <xf numFmtId="41" fontId="7" fillId="0" borderId="1" xfId="1" applyNumberFormat="1" applyFont="1" applyFill="1" applyBorder="1" applyAlignment="1">
      <alignment horizontal="right"/>
    </xf>
    <xf numFmtId="41" fontId="7" fillId="0" borderId="1" xfId="0" applyNumberFormat="1" applyFont="1" applyBorder="1" applyAlignment="1">
      <alignment horizontal="right"/>
    </xf>
    <xf numFmtId="0" fontId="9" fillId="0" borderId="1" xfId="0" applyFont="1" applyBorder="1" applyAlignment="1">
      <alignment horizontal="center"/>
    </xf>
    <xf numFmtId="0" fontId="7" fillId="0" borderId="1" xfId="0" applyFont="1" applyBorder="1" applyAlignment="1">
      <alignment horizontal="left" indent="2"/>
    </xf>
    <xf numFmtId="0" fontId="9" fillId="0" borderId="1" xfId="0" applyFont="1" applyBorder="1" applyAlignment="1">
      <alignment horizontal="left" indent="2"/>
    </xf>
    <xf numFmtId="0" fontId="15" fillId="0" borderId="0" xfId="0" applyFont="1"/>
    <xf numFmtId="0" fontId="9" fillId="0" borderId="1" xfId="0" applyFont="1" applyBorder="1" applyAlignment="1">
      <alignment horizontal="left"/>
    </xf>
    <xf numFmtId="42" fontId="7" fillId="0" borderId="2" xfId="1" applyNumberFormat="1" applyFont="1" applyFill="1" applyBorder="1"/>
    <xf numFmtId="164" fontId="7" fillId="0" borderId="1" xfId="1" applyNumberFormat="1" applyFont="1" applyFill="1" applyBorder="1"/>
    <xf numFmtId="42" fontId="7" fillId="0" borderId="2" xfId="0" applyNumberFormat="1" applyFont="1" applyBorder="1"/>
    <xf numFmtId="0" fontId="15" fillId="0" borderId="1" xfId="0" applyFont="1" applyBorder="1"/>
    <xf numFmtId="0" fontId="24" fillId="0" borderId="0" xfId="0" applyFont="1" applyAlignment="1">
      <alignment horizontal="left" vertical="center"/>
    </xf>
    <xf numFmtId="42" fontId="7" fillId="0" borderId="1" xfId="1" applyNumberFormat="1" applyFont="1" applyFill="1" applyBorder="1"/>
    <xf numFmtId="41" fontId="7" fillId="8" borderId="2" xfId="1" applyNumberFormat="1" applyFont="1" applyFill="1" applyBorder="1" applyProtection="1">
      <protection locked="0"/>
    </xf>
    <xf numFmtId="0" fontId="9" fillId="0" borderId="0" xfId="0" applyFont="1" applyAlignment="1">
      <alignment horizontal="left"/>
    </xf>
    <xf numFmtId="0" fontId="24" fillId="0" borderId="0" xfId="0" applyFont="1" applyAlignment="1">
      <alignment vertical="center"/>
    </xf>
    <xf numFmtId="0" fontId="24" fillId="0" borderId="0" xfId="0" applyFont="1" applyAlignment="1">
      <alignment horizontal="left"/>
    </xf>
    <xf numFmtId="0" fontId="9" fillId="0" borderId="0" xfId="0" applyFont="1" applyAlignment="1">
      <alignment vertical="center"/>
    </xf>
    <xf numFmtId="0" fontId="7" fillId="0" borderId="0" xfId="0" applyFont="1" applyAlignment="1">
      <alignment horizontal="left"/>
    </xf>
    <xf numFmtId="42" fontId="7" fillId="0" borderId="1" xfId="0" applyNumberFormat="1" applyFont="1" applyBorder="1"/>
    <xf numFmtId="42" fontId="7" fillId="0" borderId="1" xfId="2" applyNumberFormat="1" applyFont="1" applyFill="1" applyBorder="1"/>
    <xf numFmtId="167" fontId="9" fillId="0" borderId="1" xfId="0" applyNumberFormat="1" applyFont="1" applyBorder="1"/>
    <xf numFmtId="0" fontId="9" fillId="5" borderId="1" xfId="0" applyFont="1" applyFill="1" applyBorder="1"/>
    <xf numFmtId="0" fontId="7" fillId="5" borderId="1" xfId="0" applyFont="1" applyFill="1" applyBorder="1" applyAlignment="1">
      <alignment horizontal="center"/>
    </xf>
    <xf numFmtId="0" fontId="7" fillId="5" borderId="1" xfId="0" applyFont="1" applyFill="1" applyBorder="1"/>
    <xf numFmtId="0" fontId="15" fillId="5" borderId="1" xfId="0" applyFont="1" applyFill="1" applyBorder="1"/>
    <xf numFmtId="44" fontId="7" fillId="5" borderId="1" xfId="2" applyFont="1" applyFill="1" applyBorder="1"/>
    <xf numFmtId="0" fontId="9" fillId="0" borderId="1" xfId="0" applyFont="1" applyBorder="1" applyAlignment="1">
      <alignment horizontal="center" wrapText="1"/>
    </xf>
    <xf numFmtId="10" fontId="7" fillId="0" borderId="1" xfId="5" applyNumberFormat="1" applyFont="1" applyFill="1" applyBorder="1" applyProtection="1">
      <protection locked="0"/>
    </xf>
    <xf numFmtId="42" fontId="7" fillId="0" borderId="1" xfId="5" applyNumberFormat="1" applyFont="1" applyFill="1" applyBorder="1" applyProtection="1"/>
    <xf numFmtId="10" fontId="7" fillId="0" borderId="1" xfId="0" applyNumberFormat="1" applyFont="1" applyBorder="1" applyProtection="1">
      <protection locked="0"/>
    </xf>
    <xf numFmtId="10" fontId="7" fillId="0" borderId="1" xfId="0" applyNumberFormat="1" applyFont="1" applyBorder="1" applyAlignment="1">
      <alignment horizontal="center"/>
    </xf>
    <xf numFmtId="0" fontId="7" fillId="0" borderId="1" xfId="0" applyFont="1" applyBorder="1" applyAlignment="1">
      <alignment horizontal="center"/>
    </xf>
    <xf numFmtId="0" fontId="17" fillId="0" borderId="0" xfId="0" applyFont="1"/>
    <xf numFmtId="0" fontId="23" fillId="0" borderId="0" xfId="0" applyFont="1"/>
    <xf numFmtId="9" fontId="15" fillId="0" borderId="0" xfId="0" applyNumberFormat="1" applyFont="1" applyAlignment="1" applyProtection="1">
      <alignment horizontal="center" vertical="center"/>
      <protection locked="0"/>
    </xf>
    <xf numFmtId="42" fontId="15" fillId="0" borderId="0" xfId="0" applyNumberFormat="1" applyFont="1"/>
    <xf numFmtId="0" fontId="25" fillId="0" borderId="0" xfId="0" applyFont="1"/>
    <xf numFmtId="0" fontId="16" fillId="0" borderId="0" xfId="0" applyFont="1" applyAlignment="1">
      <alignment horizontal="center" vertical="center"/>
    </xf>
    <xf numFmtId="41" fontId="7" fillId="0" borderId="0" xfId="2" applyNumberFormat="1" applyFont="1" applyFill="1" applyBorder="1" applyProtection="1">
      <protection locked="0"/>
    </xf>
    <xf numFmtId="42" fontId="17" fillId="0" borderId="0" xfId="2" applyNumberFormat="1" applyFont="1" applyFill="1" applyBorder="1"/>
    <xf numFmtId="0" fontId="16" fillId="0" borderId="0" xfId="0" applyFont="1"/>
    <xf numFmtId="41" fontId="7" fillId="0" borderId="1" xfId="1" applyNumberFormat="1" applyFont="1" applyFill="1" applyBorder="1" applyProtection="1"/>
    <xf numFmtId="44" fontId="7" fillId="0" borderId="0" xfId="2" applyFont="1" applyFill="1" applyBorder="1"/>
    <xf numFmtId="166" fontId="7" fillId="0" borderId="1" xfId="0" applyNumberFormat="1" applyFont="1" applyBorder="1" applyProtection="1">
      <protection locked="0"/>
    </xf>
    <xf numFmtId="42" fontId="7" fillId="0" borderId="1" xfId="1" applyNumberFormat="1" applyFont="1" applyFill="1" applyBorder="1" applyProtection="1"/>
    <xf numFmtId="0" fontId="9" fillId="0" borderId="1" xfId="0" applyFont="1" applyBorder="1" applyAlignment="1">
      <alignment horizontal="left" vertical="center"/>
    </xf>
    <xf numFmtId="165" fontId="17" fillId="0" borderId="0" xfId="0" applyNumberFormat="1" applyFont="1"/>
    <xf numFmtId="42" fontId="17" fillId="0" borderId="0" xfId="0" applyNumberFormat="1" applyFont="1"/>
    <xf numFmtId="44" fontId="17" fillId="0" borderId="0" xfId="0" applyNumberFormat="1" applyFont="1"/>
    <xf numFmtId="44" fontId="16" fillId="0" borderId="0" xfId="0" applyNumberFormat="1" applyFont="1"/>
    <xf numFmtId="42" fontId="9" fillId="0" borderId="1" xfId="1" applyNumberFormat="1" applyFont="1" applyFill="1" applyBorder="1" applyProtection="1"/>
    <xf numFmtId="166" fontId="7" fillId="0" borderId="0" xfId="0" applyNumberFormat="1" applyFont="1"/>
    <xf numFmtId="41" fontId="7" fillId="0" borderId="0" xfId="1" applyNumberFormat="1" applyFont="1" applyFill="1" applyBorder="1" applyProtection="1"/>
    <xf numFmtId="0" fontId="16" fillId="0" borderId="0" xfId="0" applyFont="1" applyAlignment="1">
      <alignment horizontal="center" vertical="center" wrapText="1"/>
    </xf>
    <xf numFmtId="167" fontId="7" fillId="0" borderId="0" xfId="0" applyNumberFormat="1" applyFont="1" applyProtection="1">
      <protection locked="0"/>
    </xf>
    <xf numFmtId="42" fontId="17" fillId="0" borderId="0" xfId="2" applyNumberFormat="1" applyFont="1" applyFill="1" applyBorder="1" applyAlignment="1">
      <alignment horizontal="center"/>
    </xf>
    <xf numFmtId="0" fontId="7" fillId="0" borderId="0" xfId="0" applyFont="1" applyAlignment="1">
      <alignment horizontal="center"/>
    </xf>
    <xf numFmtId="0" fontId="16" fillId="0" borderId="0" xfId="0" applyFont="1" applyAlignment="1">
      <alignment horizontal="center" wrapText="1"/>
    </xf>
    <xf numFmtId="10" fontId="7" fillId="0" borderId="0" xfId="5" applyNumberFormat="1" applyFont="1" applyFill="1" applyBorder="1" applyProtection="1">
      <protection locked="0"/>
    </xf>
    <xf numFmtId="10" fontId="17" fillId="0" borderId="0" xfId="0" applyNumberFormat="1" applyFont="1" applyAlignment="1">
      <alignment horizontal="center"/>
    </xf>
    <xf numFmtId="0" fontId="17" fillId="0" borderId="0" xfId="0" applyFont="1" applyAlignment="1">
      <alignment horizontal="center"/>
    </xf>
    <xf numFmtId="0" fontId="15" fillId="0" borderId="0" xfId="0" applyFont="1" applyProtection="1">
      <protection locked="0"/>
    </xf>
    <xf numFmtId="9" fontId="17" fillId="0" borderId="0" xfId="0" applyNumberFormat="1" applyFont="1"/>
    <xf numFmtId="0" fontId="23" fillId="0" borderId="1" xfId="0" applyFont="1" applyBorder="1" applyAlignment="1">
      <alignment horizontal="right" vertical="center"/>
    </xf>
    <xf numFmtId="0" fontId="9" fillId="0" borderId="1" xfId="0" applyFont="1" applyBorder="1" applyAlignment="1">
      <alignment horizontal="right" vertical="center"/>
    </xf>
    <xf numFmtId="0" fontId="15" fillId="0" borderId="1" xfId="0" applyFont="1" applyBorder="1" applyAlignment="1">
      <alignment horizontal="right" vertical="center"/>
    </xf>
    <xf numFmtId="164" fontId="9" fillId="0" borderId="5" xfId="0" applyNumberFormat="1" applyFont="1" applyBorder="1" applyAlignment="1">
      <alignment horizontal="right" vertical="center"/>
    </xf>
    <xf numFmtId="9" fontId="9" fillId="0" borderId="1" xfId="0" applyNumberFormat="1" applyFont="1" applyBorder="1" applyAlignment="1">
      <alignment horizontal="right" vertical="center"/>
    </xf>
    <xf numFmtId="0" fontId="15" fillId="0" borderId="5" xfId="0" quotePrefix="1" applyFont="1" applyBorder="1" applyAlignment="1">
      <alignment horizontal="right" vertical="center"/>
    </xf>
    <xf numFmtId="42" fontId="9" fillId="0" borderId="5" xfId="0" applyNumberFormat="1" applyFont="1" applyBorder="1" applyAlignment="1">
      <alignment horizontal="right" vertical="center"/>
    </xf>
    <xf numFmtId="0" fontId="15" fillId="0" borderId="1" xfId="0" quotePrefix="1" applyFont="1" applyBorder="1" applyAlignment="1">
      <alignment horizontal="right" vertical="center"/>
    </xf>
    <xf numFmtId="0" fontId="15" fillId="5" borderId="2" xfId="0" quotePrefix="1" applyFont="1" applyFill="1" applyBorder="1" applyAlignment="1">
      <alignment horizontal="right" vertical="center"/>
    </xf>
    <xf numFmtId="43" fontId="15" fillId="5" borderId="8" xfId="1" applyFont="1" applyFill="1" applyBorder="1" applyAlignment="1" applyProtection="1">
      <alignment horizontal="right" vertical="center"/>
    </xf>
    <xf numFmtId="43" fontId="15" fillId="5" borderId="8" xfId="1" applyFont="1" applyFill="1" applyBorder="1" applyAlignment="1" applyProtection="1">
      <alignment horizontal="right" vertical="center"/>
      <protection locked="0"/>
    </xf>
    <xf numFmtId="0" fontId="9" fillId="0" borderId="9" xfId="0" applyFont="1" applyBorder="1" applyAlignment="1">
      <alignment horizontal="right" vertical="center"/>
    </xf>
    <xf numFmtId="0" fontId="23" fillId="0" borderId="6" xfId="0" applyFont="1" applyBorder="1" applyAlignment="1">
      <alignment horizontal="right" vertical="center"/>
    </xf>
    <xf numFmtId="43" fontId="15" fillId="5" borderId="6" xfId="1" applyFont="1" applyFill="1" applyBorder="1" applyAlignment="1" applyProtection="1">
      <alignment horizontal="right" vertical="center"/>
      <protection locked="0"/>
    </xf>
    <xf numFmtId="0" fontId="9" fillId="0" borderId="6" xfId="0" applyFont="1" applyBorder="1" applyAlignment="1">
      <alignment horizontal="right" vertical="center"/>
    </xf>
    <xf numFmtId="0" fontId="7" fillId="0" borderId="1" xfId="0" quotePrefix="1" applyFont="1" applyBorder="1" applyAlignment="1">
      <alignment horizontal="right" vertical="center"/>
    </xf>
    <xf numFmtId="42" fontId="9" fillId="0" borderId="1" xfId="0" applyNumberFormat="1" applyFont="1" applyBorder="1" applyAlignment="1">
      <alignment horizontal="right" vertical="center"/>
    </xf>
    <xf numFmtId="43" fontId="15" fillId="5" borderId="6" xfId="0" applyNumberFormat="1" applyFont="1" applyFill="1" applyBorder="1" applyAlignment="1">
      <alignment horizontal="right" vertical="center"/>
    </xf>
    <xf numFmtId="0" fontId="15" fillId="0" borderId="2" xfId="0" quotePrefix="1" applyFont="1" applyBorder="1" applyAlignment="1">
      <alignment horizontal="right" vertical="center"/>
    </xf>
    <xf numFmtId="43" fontId="15" fillId="5" borderId="8" xfId="0" applyNumberFormat="1" applyFont="1" applyFill="1" applyBorder="1" applyAlignment="1">
      <alignment horizontal="right" vertical="center"/>
    </xf>
    <xf numFmtId="43" fontId="15" fillId="0" borderId="8" xfId="1" applyFont="1" applyFill="1" applyBorder="1" applyAlignment="1" applyProtection="1">
      <alignment horizontal="right" vertical="center"/>
      <protection locked="0"/>
    </xf>
    <xf numFmtId="43" fontId="15" fillId="0" borderId="6" xfId="1" applyFont="1" applyFill="1" applyBorder="1" applyAlignment="1" applyProtection="1">
      <alignment horizontal="right" vertical="center"/>
      <protection locked="0"/>
    </xf>
    <xf numFmtId="0" fontId="7" fillId="0" borderId="5" xfId="0" quotePrefix="1" applyFont="1" applyBorder="1" applyAlignment="1">
      <alignment horizontal="right" vertical="center"/>
    </xf>
    <xf numFmtId="0" fontId="9" fillId="0" borderId="5" xfId="0" quotePrefix="1" applyFont="1" applyBorder="1" applyAlignment="1">
      <alignment horizontal="right" vertical="center"/>
    </xf>
    <xf numFmtId="0" fontId="9" fillId="0" borderId="5" xfId="0" applyFont="1" applyBorder="1" applyAlignment="1">
      <alignment horizontal="right" vertical="center"/>
    </xf>
    <xf numFmtId="42" fontId="9" fillId="0" borderId="5" xfId="0" applyNumberFormat="1" applyFont="1" applyBorder="1" applyAlignment="1">
      <alignment horizontal="left" vertical="center"/>
    </xf>
    <xf numFmtId="42" fontId="9" fillId="0" borderId="1" xfId="1" applyNumberFormat="1" applyFont="1" applyFill="1" applyBorder="1" applyAlignment="1">
      <alignment horizontal="left" vertical="center"/>
    </xf>
    <xf numFmtId="42" fontId="9" fillId="0" borderId="1" xfId="0" applyNumberFormat="1" applyFont="1" applyBorder="1" applyAlignment="1">
      <alignment horizontal="left" vertical="center"/>
    </xf>
    <xf numFmtId="0" fontId="7" fillId="8" borderId="1" xfId="0" applyFont="1" applyFill="1" applyBorder="1" applyAlignment="1" applyProtection="1">
      <alignment horizontal="right" vertical="center"/>
      <protection locked="0"/>
    </xf>
    <xf numFmtId="44" fontId="7" fillId="8" borderId="1" xfId="0" applyNumberFormat="1" applyFont="1" applyFill="1" applyBorder="1" applyAlignment="1" applyProtection="1">
      <alignment horizontal="right" vertical="center"/>
      <protection locked="0"/>
    </xf>
    <xf numFmtId="44" fontId="15" fillId="8" borderId="1" xfId="0" applyNumberFormat="1" applyFont="1" applyFill="1" applyBorder="1" applyProtection="1">
      <protection locked="0"/>
    </xf>
    <xf numFmtId="0" fontId="26" fillId="0" borderId="0" xfId="0" applyFont="1" applyAlignment="1">
      <alignment vertical="center"/>
    </xf>
    <xf numFmtId="0" fontId="9" fillId="0" borderId="0" xfId="0" applyFont="1" applyAlignment="1">
      <alignment horizontal="right" vertical="center"/>
    </xf>
    <xf numFmtId="37" fontId="15" fillId="8" borderId="1" xfId="1" applyNumberFormat="1" applyFont="1" applyFill="1" applyBorder="1" applyAlignment="1" applyProtection="1">
      <alignment horizontal="right" vertical="center"/>
      <protection locked="0"/>
    </xf>
    <xf numFmtId="37" fontId="15" fillId="8" borderId="1" xfId="0" applyNumberFormat="1" applyFont="1" applyFill="1" applyBorder="1" applyAlignment="1" applyProtection="1">
      <alignment horizontal="right" vertical="center"/>
      <protection locked="0"/>
    </xf>
    <xf numFmtId="166" fontId="7" fillId="8" borderId="1" xfId="0" applyNumberFormat="1" applyFont="1" applyFill="1" applyBorder="1" applyProtection="1">
      <protection locked="0"/>
    </xf>
    <xf numFmtId="41" fontId="7" fillId="8" borderId="1" xfId="2" applyNumberFormat="1" applyFont="1" applyFill="1" applyBorder="1" applyProtection="1">
      <protection locked="0"/>
    </xf>
    <xf numFmtId="10" fontId="7" fillId="8" borderId="1" xfId="5" applyNumberFormat="1" applyFont="1" applyFill="1" applyBorder="1" applyProtection="1">
      <protection locked="0"/>
    </xf>
    <xf numFmtId="0" fontId="7" fillId="0" borderId="1" xfId="0" quotePrefix="1" applyFont="1" applyBorder="1" applyAlignment="1">
      <alignment horizontal="right"/>
    </xf>
    <xf numFmtId="42" fontId="7" fillId="0" borderId="1" xfId="0" applyNumberFormat="1" applyFont="1" applyBorder="1" applyAlignment="1">
      <alignment horizontal="right"/>
    </xf>
    <xf numFmtId="0" fontId="28" fillId="0" borderId="0" xfId="0" applyFont="1"/>
    <xf numFmtId="0" fontId="15" fillId="0" borderId="0" xfId="0" applyFont="1" applyAlignment="1">
      <alignment vertical="center"/>
    </xf>
    <xf numFmtId="0" fontId="23" fillId="0" borderId="0" xfId="0" applyFont="1" applyAlignment="1">
      <alignment vertical="center"/>
    </xf>
    <xf numFmtId="0" fontId="15" fillId="0" borderId="0" xfId="0" applyFont="1" applyAlignment="1">
      <alignment horizontal="right"/>
    </xf>
    <xf numFmtId="0" fontId="9" fillId="0" borderId="1" xfId="0" applyFont="1" applyBorder="1" applyAlignment="1">
      <alignment horizontal="right"/>
    </xf>
    <xf numFmtId="0" fontId="9" fillId="0" borderId="6" xfId="0" applyFont="1" applyBorder="1"/>
    <xf numFmtId="41" fontId="17" fillId="0" borderId="6" xfId="5" applyNumberFormat="1" applyFont="1" applyFill="1" applyBorder="1" applyProtection="1">
      <protection locked="0"/>
    </xf>
    <xf numFmtId="0" fontId="9" fillId="0" borderId="6" xfId="0" applyFont="1" applyBorder="1" applyAlignment="1">
      <alignment horizontal="center" vertical="center"/>
    </xf>
    <xf numFmtId="0" fontId="15" fillId="0" borderId="1" xfId="0" applyFont="1" applyBorder="1" applyAlignment="1" applyProtection="1">
      <alignment horizontal="left" indent="3"/>
      <protection locked="0"/>
    </xf>
    <xf numFmtId="41" fontId="7" fillId="8" borderId="1" xfId="1" applyNumberFormat="1" applyFont="1" applyFill="1" applyBorder="1" applyProtection="1">
      <protection locked="0"/>
    </xf>
    <xf numFmtId="0" fontId="23" fillId="0" borderId="1" xfId="0" applyFont="1" applyBorder="1"/>
    <xf numFmtId="0" fontId="15" fillId="0" borderId="1" xfId="0" applyFont="1" applyBorder="1" applyAlignment="1">
      <alignment horizontal="left" indent="3"/>
    </xf>
    <xf numFmtId="0" fontId="15" fillId="0" borderId="1" xfId="0" applyFont="1" applyBorder="1" applyAlignment="1">
      <alignment horizontal="left" indent="6"/>
    </xf>
    <xf numFmtId="44" fontId="15" fillId="0" borderId="0" xfId="0" applyNumberFormat="1" applyFont="1"/>
    <xf numFmtId="0" fontId="29" fillId="0" borderId="0" xfId="0" applyFont="1" applyAlignment="1">
      <alignment vertical="center"/>
    </xf>
    <xf numFmtId="0" fontId="9" fillId="0" borderId="0" xfId="0" applyFont="1" applyAlignment="1">
      <alignment horizontal="left" vertical="center"/>
    </xf>
    <xf numFmtId="0" fontId="15" fillId="0" borderId="0" xfId="0" applyFont="1" applyAlignment="1">
      <alignment horizontal="center"/>
    </xf>
    <xf numFmtId="41" fontId="15" fillId="0" borderId="1" xfId="0" applyNumberFormat="1" applyFont="1" applyBorder="1"/>
    <xf numFmtId="166" fontId="7" fillId="0" borderId="1" xfId="0" applyNumberFormat="1" applyFont="1" applyBorder="1"/>
    <xf numFmtId="43" fontId="15" fillId="0" borderId="1" xfId="0" applyNumberFormat="1" applyFont="1" applyBorder="1"/>
    <xf numFmtId="41" fontId="7" fillId="0" borderId="6" xfId="1" applyNumberFormat="1" applyFont="1" applyFill="1" applyBorder="1" applyProtection="1"/>
    <xf numFmtId="41" fontId="15" fillId="0" borderId="6" xfId="0" applyNumberFormat="1" applyFont="1" applyBorder="1"/>
    <xf numFmtId="0" fontId="15" fillId="0" borderId="1" xfId="0" applyFont="1" applyBorder="1" applyAlignment="1">
      <alignment horizontal="left"/>
    </xf>
    <xf numFmtId="0" fontId="24" fillId="0" borderId="0" xfId="0" applyFont="1"/>
    <xf numFmtId="0" fontId="7" fillId="0" borderId="0" xfId="0" applyFont="1" applyAlignment="1">
      <alignment horizontal="left" vertical="center"/>
    </xf>
    <xf numFmtId="0" fontId="15" fillId="0" borderId="0" xfId="4" applyFont="1" applyFill="1"/>
    <xf numFmtId="0" fontId="15" fillId="4" borderId="1" xfId="4" applyFont="1" applyFill="1" applyBorder="1"/>
    <xf numFmtId="9" fontId="15" fillId="8" borderId="1" xfId="5" applyFont="1" applyFill="1" applyBorder="1" applyProtection="1">
      <protection locked="0"/>
    </xf>
    <xf numFmtId="0" fontId="15" fillId="4" borderId="1" xfId="0" applyFont="1" applyFill="1" applyBorder="1"/>
    <xf numFmtId="0" fontId="15" fillId="6" borderId="1" xfId="0" applyFont="1" applyFill="1" applyBorder="1" applyProtection="1">
      <protection locked="0"/>
    </xf>
    <xf numFmtId="0" fontId="7" fillId="0" borderId="2" xfId="0" applyFont="1" applyBorder="1"/>
    <xf numFmtId="9" fontId="15" fillId="0" borderId="1" xfId="5" applyFont="1" applyFill="1" applyBorder="1" applyProtection="1"/>
    <xf numFmtId="10" fontId="15" fillId="8" borderId="1" xfId="0" applyNumberFormat="1" applyFont="1" applyFill="1" applyBorder="1" applyProtection="1">
      <protection locked="0"/>
    </xf>
    <xf numFmtId="41" fontId="7" fillId="8" borderId="7" xfId="1" applyNumberFormat="1" applyFont="1" applyFill="1" applyBorder="1" applyProtection="1">
      <protection locked="0"/>
    </xf>
    <xf numFmtId="0" fontId="7" fillId="0" borderId="1" xfId="0" applyFont="1" applyBorder="1" applyAlignment="1">
      <alignment horizontal="left"/>
    </xf>
    <xf numFmtId="0" fontId="23" fillId="0" borderId="1" xfId="0" applyFont="1" applyBorder="1" applyAlignment="1">
      <alignment horizontal="right"/>
    </xf>
    <xf numFmtId="9" fontId="23" fillId="0" borderId="1" xfId="0" applyNumberFormat="1" applyFont="1" applyBorder="1"/>
    <xf numFmtId="0" fontId="24" fillId="0" borderId="0" xfId="0" quotePrefix="1" applyFont="1"/>
    <xf numFmtId="0" fontId="23" fillId="0" borderId="0" xfId="0" quotePrefix="1" applyFont="1"/>
    <xf numFmtId="0" fontId="7" fillId="0" borderId="1" xfId="0" applyFont="1" applyBorder="1" applyAlignment="1">
      <alignment horizontal="left" indent="3"/>
    </xf>
    <xf numFmtId="41" fontId="7" fillId="0" borderId="1" xfId="1" quotePrefix="1" applyNumberFormat="1" applyFont="1" applyFill="1" applyBorder="1" applyProtection="1"/>
    <xf numFmtId="41" fontId="7" fillId="0" borderId="1" xfId="1" applyNumberFormat="1" applyFont="1" applyFill="1" applyBorder="1"/>
    <xf numFmtId="0" fontId="7" fillId="0" borderId="1" xfId="0" applyFont="1" applyBorder="1" applyAlignment="1">
      <alignment horizontal="left" indent="6"/>
    </xf>
    <xf numFmtId="0" fontId="9" fillId="5" borderId="1" xfId="0" applyFont="1" applyFill="1" applyBorder="1" applyAlignment="1">
      <alignment horizontal="left"/>
    </xf>
    <xf numFmtId="42" fontId="7" fillId="5" borderId="1" xfId="1" applyNumberFormat="1" applyFont="1" applyFill="1" applyBorder="1" applyProtection="1"/>
    <xf numFmtId="0" fontId="7" fillId="0" borderId="1" xfId="0" applyFont="1" applyBorder="1" applyAlignment="1">
      <alignment horizontal="left" indent="5"/>
    </xf>
    <xf numFmtId="42" fontId="9" fillId="0" borderId="1" xfId="1" applyNumberFormat="1" applyFont="1" applyFill="1" applyBorder="1"/>
    <xf numFmtId="0" fontId="9" fillId="0" borderId="0" xfId="0" quotePrefix="1" applyFont="1"/>
    <xf numFmtId="42" fontId="9" fillId="0" borderId="1" xfId="0" applyNumberFormat="1" applyFont="1" applyBorder="1" applyAlignment="1">
      <alignment horizontal="left" indent="3"/>
    </xf>
    <xf numFmtId="0" fontId="31" fillId="0" borderId="0" xfId="0" applyFont="1"/>
    <xf numFmtId="0" fontId="7" fillId="0" borderId="1" xfId="0" applyFont="1" applyBorder="1" applyAlignment="1">
      <alignment horizontal="left" vertical="center"/>
    </xf>
    <xf numFmtId="0" fontId="7" fillId="5" borderId="1" xfId="0" applyFont="1" applyFill="1" applyBorder="1" applyAlignment="1">
      <alignment horizontal="left" vertical="center"/>
    </xf>
    <xf numFmtId="42" fontId="9" fillId="5" borderId="1" xfId="0" applyNumberFormat="1" applyFont="1" applyFill="1" applyBorder="1" applyAlignment="1">
      <alignment horizontal="left"/>
    </xf>
    <xf numFmtId="0" fontId="7" fillId="0" borderId="1" xfId="0" applyFont="1" applyBorder="1" applyAlignment="1" applyProtection="1">
      <alignment horizontal="left" indent="3"/>
      <protection locked="0"/>
    </xf>
    <xf numFmtId="0" fontId="9" fillId="4" borderId="1" xfId="0" applyFont="1" applyFill="1" applyBorder="1" applyAlignment="1">
      <alignment horizontal="left"/>
    </xf>
    <xf numFmtId="0" fontId="7" fillId="4" borderId="1" xfId="0" applyFont="1" applyFill="1" applyBorder="1" applyAlignment="1">
      <alignment horizontal="left" indent="3"/>
    </xf>
    <xf numFmtId="0" fontId="7" fillId="4" borderId="1" xfId="0" applyFont="1" applyFill="1" applyBorder="1" applyAlignment="1">
      <alignment horizontal="left" indent="6"/>
    </xf>
    <xf numFmtId="9" fontId="25" fillId="0" borderId="0" xfId="0" applyNumberFormat="1" applyFont="1" applyAlignment="1">
      <alignment horizontal="center"/>
    </xf>
    <xf numFmtId="9" fontId="25" fillId="0" borderId="0" xfId="0" applyNumberFormat="1" applyFont="1"/>
    <xf numFmtId="9" fontId="24" fillId="0" borderId="0" xfId="0" applyNumberFormat="1" applyFont="1" applyAlignment="1">
      <alignment horizontal="center"/>
    </xf>
    <xf numFmtId="9" fontId="24" fillId="0" borderId="0" xfId="0" applyNumberFormat="1" applyFont="1"/>
    <xf numFmtId="9" fontId="9" fillId="0" borderId="0" xfId="0" applyNumberFormat="1" applyFont="1" applyAlignment="1">
      <alignment horizontal="center" vertical="center"/>
    </xf>
    <xf numFmtId="9" fontId="9" fillId="0" borderId="0" xfId="0" applyNumberFormat="1" applyFont="1" applyAlignment="1">
      <alignment vertical="center"/>
    </xf>
    <xf numFmtId="9" fontId="7" fillId="0" borderId="0" xfId="0" applyNumberFormat="1" applyFont="1" applyAlignment="1">
      <alignment horizontal="center" vertical="center"/>
    </xf>
    <xf numFmtId="9" fontId="7" fillId="0" borderId="0" xfId="0" applyNumberFormat="1" applyFont="1" applyAlignment="1">
      <alignment vertical="center"/>
    </xf>
    <xf numFmtId="0" fontId="9" fillId="0" borderId="2" xfId="0" applyFont="1" applyBorder="1" applyAlignment="1">
      <alignment horizontal="left"/>
    </xf>
    <xf numFmtId="0" fontId="7" fillId="0" borderId="2" xfId="0" applyFont="1" applyBorder="1" applyAlignment="1">
      <alignment horizontal="left" vertical="center"/>
    </xf>
    <xf numFmtId="9" fontId="7" fillId="0" borderId="1" xfId="0" applyNumberFormat="1" applyFont="1" applyBorder="1" applyAlignment="1">
      <alignment horizontal="center"/>
    </xf>
    <xf numFmtId="9" fontId="7" fillId="0" borderId="1" xfId="0" applyNumberFormat="1" applyFont="1" applyBorder="1" applyAlignment="1">
      <alignment horizontal="right"/>
    </xf>
    <xf numFmtId="9" fontId="7" fillId="0" borderId="1" xfId="1" applyNumberFormat="1" applyFont="1" applyFill="1" applyBorder="1" applyAlignment="1">
      <alignment horizontal="center"/>
    </xf>
    <xf numFmtId="9" fontId="7" fillId="0" borderId="1" xfId="1" applyNumberFormat="1" applyFont="1" applyFill="1" applyBorder="1" applyAlignment="1">
      <alignment horizontal="right"/>
    </xf>
    <xf numFmtId="9" fontId="9" fillId="0" borderId="1" xfId="1" applyNumberFormat="1" applyFont="1" applyFill="1" applyBorder="1" applyAlignment="1">
      <alignment horizontal="center"/>
    </xf>
    <xf numFmtId="9" fontId="9" fillId="0" borderId="1" xfId="1" applyNumberFormat="1" applyFont="1" applyFill="1" applyBorder="1"/>
    <xf numFmtId="165" fontId="7" fillId="0" borderId="1" xfId="1" applyNumberFormat="1" applyFont="1" applyFill="1" applyBorder="1"/>
    <xf numFmtId="9" fontId="7" fillId="0" borderId="1" xfId="1" applyNumberFormat="1" applyFont="1" applyFill="1" applyBorder="1"/>
    <xf numFmtId="9" fontId="7" fillId="0" borderId="1" xfId="0" applyNumberFormat="1" applyFont="1" applyBorder="1"/>
    <xf numFmtId="9" fontId="9" fillId="0" borderId="1" xfId="0" applyNumberFormat="1" applyFont="1" applyBorder="1" applyAlignment="1">
      <alignment horizontal="center"/>
    </xf>
    <xf numFmtId="9" fontId="7" fillId="0" borderId="1" xfId="1" applyNumberFormat="1" applyFont="1" applyFill="1" applyBorder="1" applyAlignment="1" applyProtection="1">
      <alignment horizontal="center"/>
    </xf>
    <xf numFmtId="40" fontId="7" fillId="0" borderId="1" xfId="0" applyNumberFormat="1" applyFont="1" applyBorder="1"/>
    <xf numFmtId="0" fontId="7" fillId="0" borderId="2" xfId="0" applyFont="1" applyBorder="1" applyAlignment="1">
      <alignment horizontal="left" indent="3"/>
    </xf>
    <xf numFmtId="0" fontId="7" fillId="0" borderId="2" xfId="0" applyFont="1" applyBorder="1" applyAlignment="1">
      <alignment horizontal="left" indent="6"/>
    </xf>
    <xf numFmtId="165" fontId="7" fillId="0" borderId="1" xfId="1" applyNumberFormat="1" applyFont="1" applyFill="1" applyBorder="1" applyProtection="1"/>
    <xf numFmtId="0" fontId="7" fillId="0" borderId="1" xfId="0" applyFont="1" applyBorder="1" applyAlignment="1">
      <alignment horizontal="left" vertical="center" indent="3"/>
    </xf>
    <xf numFmtId="0" fontId="34" fillId="0" borderId="0" xfId="0" applyFont="1"/>
    <xf numFmtId="41" fontId="7" fillId="0" borderId="1" xfId="2" applyNumberFormat="1" applyFont="1" applyFill="1" applyBorder="1" applyProtection="1"/>
    <xf numFmtId="42" fontId="9" fillId="0" borderId="1" xfId="2" applyNumberFormat="1" applyFont="1" applyFill="1" applyBorder="1" applyProtection="1"/>
    <xf numFmtId="6" fontId="7" fillId="0" borderId="1" xfId="0" applyNumberFormat="1" applyFont="1" applyBorder="1"/>
    <xf numFmtId="0" fontId="35" fillId="0" borderId="0" xfId="0" applyFont="1" applyAlignment="1">
      <alignment horizontal="left" vertical="center"/>
    </xf>
    <xf numFmtId="0" fontId="35" fillId="0" borderId="0" xfId="0" applyFont="1" applyAlignment="1">
      <alignment vertical="center"/>
    </xf>
    <xf numFmtId="41" fontId="15" fillId="6" borderId="1" xfId="0" applyNumberFormat="1" applyFont="1" applyFill="1" applyBorder="1" applyProtection="1">
      <protection locked="0"/>
    </xf>
    <xf numFmtId="0" fontId="7" fillId="0" borderId="1" xfId="0" applyFont="1" applyBorder="1" applyAlignment="1">
      <alignment wrapText="1"/>
    </xf>
    <xf numFmtId="0" fontId="17" fillId="0" borderId="0" xfId="0" applyFont="1" applyAlignment="1">
      <alignment wrapText="1"/>
    </xf>
    <xf numFmtId="0" fontId="25" fillId="5" borderId="0" xfId="0" applyFont="1" applyFill="1"/>
    <xf numFmtId="0" fontId="15" fillId="0" borderId="1" xfId="0" applyFont="1" applyBorder="1" applyAlignment="1">
      <alignment wrapText="1"/>
    </xf>
    <xf numFmtId="0" fontId="7" fillId="8" borderId="1" xfId="0" applyFont="1" applyFill="1" applyBorder="1" applyAlignment="1" applyProtection="1">
      <alignment vertical="center"/>
      <protection locked="0"/>
    </xf>
    <xf numFmtId="0" fontId="9" fillId="0" borderId="1" xfId="0" applyFont="1" applyBorder="1" applyAlignment="1">
      <alignment wrapText="1"/>
    </xf>
    <xf numFmtId="0" fontId="24" fillId="0" borderId="0" xfId="0" applyFont="1" applyAlignment="1">
      <alignment horizontal="center"/>
    </xf>
    <xf numFmtId="1" fontId="7" fillId="0" borderId="1" xfId="0" applyNumberFormat="1" applyFont="1" applyBorder="1"/>
    <xf numFmtId="44" fontId="9" fillId="0" borderId="0" xfId="2" applyFont="1" applyFill="1" applyBorder="1" applyAlignment="1">
      <alignment horizontal="right" vertical="center"/>
    </xf>
    <xf numFmtId="1" fontId="17" fillId="0" borderId="0" xfId="1" applyNumberFormat="1" applyFont="1" applyFill="1" applyBorder="1" applyAlignment="1">
      <alignment horizontal="left" vertical="center"/>
    </xf>
    <xf numFmtId="44" fontId="16" fillId="0" borderId="0" xfId="2" applyFont="1" applyFill="1" applyBorder="1" applyAlignment="1">
      <alignment horizontal="center"/>
    </xf>
    <xf numFmtId="44" fontId="7" fillId="0" borderId="1" xfId="0" applyNumberFormat="1" applyFont="1" applyBorder="1" applyAlignment="1">
      <alignment horizontal="left" vertical="center" wrapText="1"/>
    </xf>
    <xf numFmtId="42" fontId="9" fillId="0" borderId="1" xfId="0" applyNumberFormat="1" applyFont="1" applyBorder="1" applyAlignment="1">
      <alignment vertical="center"/>
    </xf>
    <xf numFmtId="42" fontId="7" fillId="0" borderId="0" xfId="2" applyNumberFormat="1" applyFont="1" applyFill="1" applyBorder="1" applyAlignment="1">
      <alignment vertical="center"/>
    </xf>
    <xf numFmtId="44" fontId="7" fillId="0" borderId="0" xfId="0" applyNumberFormat="1" applyFont="1" applyAlignment="1">
      <alignment horizontal="left"/>
    </xf>
    <xf numFmtId="44" fontId="7" fillId="0" borderId="0" xfId="0" applyNumberFormat="1" applyFont="1" applyAlignment="1">
      <alignment horizontal="left" vertical="center" wrapText="1"/>
    </xf>
    <xf numFmtId="42" fontId="7" fillId="0" borderId="0" xfId="0" applyNumberFormat="1" applyFont="1" applyAlignment="1">
      <alignment horizontal="left" vertical="center"/>
    </xf>
    <xf numFmtId="0" fontId="9" fillId="0" borderId="0" xfId="0" applyFont="1" applyAlignment="1">
      <alignment vertical="center" wrapText="1"/>
    </xf>
    <xf numFmtId="42" fontId="7" fillId="0" borderId="0" xfId="0" applyNumberFormat="1" applyFont="1" applyAlignment="1">
      <alignment vertical="center"/>
    </xf>
    <xf numFmtId="44" fontId="7" fillId="0" borderId="0" xfId="2" applyFont="1" applyFill="1" applyBorder="1" applyAlignment="1">
      <alignment vertical="center"/>
    </xf>
    <xf numFmtId="41" fontId="7" fillId="0" borderId="0" xfId="0" applyNumberFormat="1" applyFont="1" applyAlignment="1">
      <alignment vertical="center"/>
    </xf>
    <xf numFmtId="41" fontId="7" fillId="0" borderId="0" xfId="2" applyNumberFormat="1" applyFont="1" applyFill="1" applyBorder="1" applyAlignment="1">
      <alignment vertical="center"/>
    </xf>
    <xf numFmtId="41" fontId="15" fillId="0" borderId="0" xfId="5" applyNumberFormat="1" applyFont="1" applyFill="1" applyBorder="1" applyProtection="1">
      <protection locked="0"/>
    </xf>
    <xf numFmtId="42" fontId="7" fillId="0" borderId="0" xfId="0" applyNumberFormat="1" applyFont="1" applyAlignment="1">
      <alignment vertical="center" wrapText="1"/>
    </xf>
    <xf numFmtId="42" fontId="7" fillId="0" borderId="0" xfId="2" applyNumberFormat="1" applyFont="1" applyFill="1" applyBorder="1" applyAlignment="1">
      <alignment vertical="center" wrapText="1"/>
    </xf>
    <xf numFmtId="4" fontId="7" fillId="0" borderId="0" xfId="0" applyNumberFormat="1" applyFont="1" applyAlignment="1">
      <alignment vertical="center" wrapText="1"/>
    </xf>
    <xf numFmtId="42" fontId="7" fillId="0" borderId="0" xfId="0" applyNumberFormat="1" applyFont="1"/>
    <xf numFmtId="0" fontId="9" fillId="0" borderId="1" xfId="0" applyFont="1" applyBorder="1" applyAlignment="1">
      <alignment vertical="center" wrapText="1"/>
    </xf>
    <xf numFmtId="166" fontId="9" fillId="0" borderId="1" xfId="1" applyNumberFormat="1" applyFont="1" applyFill="1" applyBorder="1"/>
    <xf numFmtId="0" fontId="7" fillId="0" borderId="1" xfId="0" applyFont="1" applyBorder="1" applyAlignment="1">
      <alignment horizontal="left" indent="4"/>
    </xf>
    <xf numFmtId="169" fontId="7" fillId="0" borderId="1" xfId="1" applyNumberFormat="1" applyFont="1" applyFill="1" applyBorder="1"/>
    <xf numFmtId="169" fontId="7" fillId="0" borderId="1" xfId="0" applyNumberFormat="1" applyFont="1" applyBorder="1"/>
    <xf numFmtId="43" fontId="7" fillId="0" borderId="1" xfId="1" applyFont="1" applyFill="1" applyBorder="1"/>
    <xf numFmtId="166" fontId="7" fillId="0" borderId="1" xfId="1" applyNumberFormat="1" applyFont="1" applyFill="1" applyBorder="1"/>
    <xf numFmtId="0" fontId="32" fillId="0" borderId="0" xfId="3" applyFont="1" applyFill="1" applyAlignment="1">
      <alignment horizontal="center" vertical="center" wrapText="1"/>
    </xf>
    <xf numFmtId="0" fontId="27" fillId="0" borderId="0" xfId="3" applyFont="1" applyFill="1" applyAlignment="1">
      <alignment horizontal="center" vertical="center" wrapText="1"/>
    </xf>
    <xf numFmtId="42" fontId="9" fillId="0" borderId="1" xfId="2" applyNumberFormat="1" applyFont="1" applyFill="1" applyBorder="1"/>
    <xf numFmtId="0" fontId="15" fillId="5" borderId="8" xfId="0" quotePrefix="1" applyFont="1" applyFill="1" applyBorder="1" applyAlignment="1">
      <alignment horizontal="right" vertical="center"/>
    </xf>
    <xf numFmtId="0" fontId="15" fillId="0" borderId="8" xfId="0" quotePrefix="1" applyFont="1" applyBorder="1" applyAlignment="1">
      <alignment horizontal="right" vertical="center"/>
    </xf>
    <xf numFmtId="42" fontId="15" fillId="0" borderId="1" xfId="0" applyNumberFormat="1" applyFont="1" applyBorder="1" applyAlignment="1">
      <alignment horizontal="right" vertical="center"/>
    </xf>
    <xf numFmtId="42" fontId="7" fillId="0" borderId="5" xfId="0" quotePrefix="1" applyNumberFormat="1" applyFont="1" applyBorder="1" applyAlignment="1">
      <alignment horizontal="right" vertical="center"/>
    </xf>
    <xf numFmtId="42" fontId="15" fillId="0" borderId="1" xfId="0" quotePrefix="1" applyNumberFormat="1" applyFont="1" applyBorder="1" applyAlignment="1">
      <alignment horizontal="right" vertical="center"/>
    </xf>
    <xf numFmtId="42" fontId="7" fillId="0" borderId="1" xfId="0" quotePrefix="1" applyNumberFormat="1" applyFont="1" applyBorder="1" applyAlignment="1">
      <alignment horizontal="right" vertical="center"/>
    </xf>
    <xf numFmtId="42" fontId="15" fillId="0" borderId="5" xfId="0" quotePrefix="1" applyNumberFormat="1" applyFont="1" applyBorder="1" applyAlignment="1">
      <alignment horizontal="right" vertical="center"/>
    </xf>
    <xf numFmtId="37" fontId="15" fillId="8" borderId="1" xfId="1" applyNumberFormat="1" applyFont="1" applyFill="1" applyBorder="1" applyAlignment="1" applyProtection="1">
      <alignment horizontal="right" vertical="center"/>
    </xf>
    <xf numFmtId="37" fontId="15" fillId="8" borderId="1" xfId="0" applyNumberFormat="1" applyFont="1" applyFill="1" applyBorder="1" applyAlignment="1">
      <alignment horizontal="right" vertical="center"/>
    </xf>
    <xf numFmtId="41" fontId="15" fillId="8" borderId="1" xfId="1" applyNumberFormat="1" applyFont="1" applyFill="1" applyBorder="1" applyAlignment="1" applyProtection="1">
      <alignment horizontal="right" vertical="center"/>
    </xf>
    <xf numFmtId="41" fontId="15" fillId="8" borderId="1" xfId="0" applyNumberFormat="1" applyFont="1" applyFill="1" applyBorder="1" applyAlignment="1">
      <alignment horizontal="right" vertical="center"/>
    </xf>
    <xf numFmtId="9" fontId="9" fillId="0" borderId="0" xfId="0" applyNumberFormat="1" applyFont="1" applyAlignment="1">
      <alignment horizontal="center"/>
    </xf>
    <xf numFmtId="9" fontId="9" fillId="0" borderId="0" xfId="0" applyNumberFormat="1" applyFont="1"/>
    <xf numFmtId="43" fontId="9" fillId="0" borderId="0" xfId="0" applyNumberFormat="1" applyFont="1" applyAlignment="1">
      <alignment horizontal="center" vertical="center"/>
    </xf>
    <xf numFmtId="9" fontId="7" fillId="0" borderId="0" xfId="0" applyNumberFormat="1" applyFont="1" applyAlignment="1">
      <alignment horizontal="center"/>
    </xf>
    <xf numFmtId="9" fontId="7" fillId="0" borderId="0" xfId="0" applyNumberFormat="1" applyFont="1"/>
    <xf numFmtId="41" fontId="7" fillId="0" borderId="1" xfId="2" applyNumberFormat="1" applyFont="1" applyFill="1" applyBorder="1"/>
    <xf numFmtId="166" fontId="9" fillId="0" borderId="1" xfId="0" applyNumberFormat="1" applyFont="1" applyBorder="1" applyAlignment="1">
      <alignment horizontal="right" vertical="center"/>
    </xf>
    <xf numFmtId="166" fontId="9" fillId="0" borderId="1" xfId="0" applyNumberFormat="1" applyFont="1" applyBorder="1"/>
    <xf numFmtId="41" fontId="15" fillId="5" borderId="5" xfId="1" applyNumberFormat="1" applyFont="1" applyFill="1" applyBorder="1" applyAlignment="1" applyProtection="1">
      <alignment horizontal="right" vertical="center"/>
    </xf>
    <xf numFmtId="41" fontId="15" fillId="5" borderId="1" xfId="1" applyNumberFormat="1" applyFont="1" applyFill="1" applyBorder="1" applyAlignment="1" applyProtection="1">
      <alignment horizontal="right" vertical="center"/>
    </xf>
    <xf numFmtId="41" fontId="7" fillId="5" borderId="1" xfId="1" applyNumberFormat="1" applyFont="1" applyFill="1" applyBorder="1" applyAlignment="1" applyProtection="1">
      <alignment horizontal="right" vertical="center"/>
    </xf>
    <xf numFmtId="41" fontId="15" fillId="0" borderId="1" xfId="1" applyNumberFormat="1" applyFont="1" applyFill="1" applyBorder="1" applyAlignment="1" applyProtection="1">
      <alignment horizontal="right" vertical="center"/>
    </xf>
    <xf numFmtId="41" fontId="7" fillId="0" borderId="1" xfId="1" applyNumberFormat="1" applyFont="1" applyFill="1" applyBorder="1" applyAlignment="1" applyProtection="1">
      <alignment horizontal="right" vertical="center"/>
    </xf>
    <xf numFmtId="37" fontId="9" fillId="0" borderId="5" xfId="1" applyNumberFormat="1" applyFont="1" applyFill="1" applyBorder="1" applyAlignment="1" applyProtection="1">
      <alignment horizontal="right" vertical="center"/>
    </xf>
    <xf numFmtId="37" fontId="9" fillId="0" borderId="5" xfId="0" applyNumberFormat="1" applyFont="1" applyBorder="1" applyAlignment="1">
      <alignment horizontal="right" vertical="center"/>
    </xf>
    <xf numFmtId="37" fontId="9" fillId="0" borderId="1" xfId="0" applyNumberFormat="1" applyFont="1" applyBorder="1" applyAlignment="1">
      <alignment horizontal="right" vertical="center"/>
    </xf>
    <xf numFmtId="41" fontId="7" fillId="8" borderId="1" xfId="1" applyNumberFormat="1" applyFont="1" applyFill="1" applyBorder="1" applyAlignment="1" applyProtection="1">
      <alignment horizontal="right" vertical="center"/>
    </xf>
    <xf numFmtId="42" fontId="15" fillId="0" borderId="1" xfId="0" applyNumberFormat="1" applyFont="1" applyBorder="1"/>
    <xf numFmtId="0" fontId="15" fillId="0" borderId="1" xfId="0" applyFont="1" applyBorder="1" applyAlignment="1" applyProtection="1">
      <alignment horizontal="left"/>
      <protection locked="0"/>
    </xf>
    <xf numFmtId="42" fontId="15" fillId="0" borderId="6" xfId="0" applyNumberFormat="1" applyFont="1" applyBorder="1"/>
    <xf numFmtId="42" fontId="7" fillId="0" borderId="6" xfId="1" applyNumberFormat="1" applyFont="1" applyFill="1" applyBorder="1" applyProtection="1"/>
    <xf numFmtId="42" fontId="9" fillId="0" borderId="6" xfId="0" applyNumberFormat="1" applyFont="1" applyBorder="1"/>
    <xf numFmtId="41" fontId="7" fillId="0" borderId="6" xfId="1" applyNumberFormat="1" applyFont="1" applyFill="1" applyBorder="1" applyAlignment="1" applyProtection="1">
      <alignment horizontal="right"/>
    </xf>
    <xf numFmtId="42" fontId="15" fillId="0" borderId="5" xfId="0" applyNumberFormat="1" applyFont="1" applyBorder="1"/>
    <xf numFmtId="41" fontId="7" fillId="8" borderId="1" xfId="1" applyNumberFormat="1" applyFont="1" applyFill="1" applyBorder="1" applyAlignment="1" applyProtection="1">
      <alignment horizontal="center"/>
      <protection locked="0"/>
    </xf>
    <xf numFmtId="41" fontId="15" fillId="8" borderId="1" xfId="0" applyNumberFormat="1" applyFont="1" applyFill="1" applyBorder="1" applyProtection="1">
      <protection locked="0"/>
    </xf>
    <xf numFmtId="41" fontId="7" fillId="8" borderId="5" xfId="1" applyNumberFormat="1" applyFont="1" applyFill="1" applyBorder="1" applyAlignment="1" applyProtection="1">
      <alignment horizontal="center"/>
      <protection locked="0"/>
    </xf>
    <xf numFmtId="41" fontId="15" fillId="8" borderId="5" xfId="0" applyNumberFormat="1" applyFont="1" applyFill="1" applyBorder="1" applyProtection="1">
      <protection locked="0"/>
    </xf>
    <xf numFmtId="42" fontId="15" fillId="8" borderId="1" xfId="0" applyNumberFormat="1" applyFont="1" applyFill="1" applyBorder="1" applyProtection="1">
      <protection locked="0"/>
    </xf>
    <xf numFmtId="42" fontId="7" fillId="0" borderId="0" xfId="0" applyNumberFormat="1" applyFont="1" applyAlignment="1">
      <alignment horizontal="center"/>
    </xf>
    <xf numFmtId="166" fontId="9" fillId="0" borderId="1" xfId="0" applyNumberFormat="1" applyFont="1" applyBorder="1" applyAlignment="1">
      <alignment horizontal="right"/>
    </xf>
    <xf numFmtId="42" fontId="7" fillId="0" borderId="1" xfId="0" applyNumberFormat="1" applyFont="1" applyBorder="1" applyAlignment="1">
      <alignment horizontal="left" vertical="center" wrapText="1"/>
    </xf>
    <xf numFmtId="42" fontId="7" fillId="0" borderId="1" xfId="1" applyNumberFormat="1" applyFont="1" applyFill="1" applyBorder="1" applyAlignment="1">
      <alignment horizontal="right"/>
    </xf>
    <xf numFmtId="41" fontId="9" fillId="0" borderId="1" xfId="0" applyNumberFormat="1" applyFont="1" applyBorder="1"/>
    <xf numFmtId="0" fontId="27" fillId="0" borderId="0" xfId="3" applyFont="1" applyFill="1" applyBorder="1" applyAlignment="1">
      <alignment vertical="center"/>
    </xf>
    <xf numFmtId="0" fontId="37" fillId="0" borderId="0" xfId="0" applyFont="1" applyAlignment="1">
      <alignment horizontal="center"/>
    </xf>
    <xf numFmtId="0" fontId="27" fillId="0" borderId="0" xfId="3" applyFont="1" applyFill="1" applyAlignment="1">
      <alignment vertical="center"/>
    </xf>
    <xf numFmtId="0" fontId="7" fillId="0" borderId="1" xfId="0" applyFont="1" applyBorder="1" applyAlignment="1" applyProtection="1">
      <alignment horizontal="left"/>
      <protection locked="0"/>
    </xf>
    <xf numFmtId="0" fontId="36" fillId="8" borderId="6" xfId="0" applyFont="1" applyFill="1" applyBorder="1" applyAlignment="1" applyProtection="1">
      <alignment horizontal="center"/>
      <protection locked="0"/>
    </xf>
    <xf numFmtId="0" fontId="7" fillId="0" borderId="6" xfId="0" applyFont="1" applyBorder="1"/>
    <xf numFmtId="42" fontId="7" fillId="0" borderId="6" xfId="0" applyNumberFormat="1" applyFont="1" applyBorder="1"/>
    <xf numFmtId="41" fontId="7" fillId="8" borderId="6" xfId="2" applyNumberFormat="1" applyFont="1" applyFill="1" applyBorder="1" applyProtection="1">
      <protection locked="0"/>
    </xf>
    <xf numFmtId="42" fontId="7" fillId="0" borderId="6" xfId="2" applyNumberFormat="1" applyFont="1" applyFill="1" applyBorder="1"/>
    <xf numFmtId="10" fontId="7" fillId="8" borderId="6" xfId="5" applyNumberFormat="1" applyFont="1" applyFill="1" applyBorder="1" applyProtection="1">
      <protection locked="0"/>
    </xf>
    <xf numFmtId="10" fontId="7" fillId="0" borderId="6" xfId="5" applyNumberFormat="1" applyFont="1" applyFill="1" applyBorder="1" applyProtection="1">
      <protection locked="0"/>
    </xf>
    <xf numFmtId="42" fontId="7" fillId="0" borderId="6" xfId="5" applyNumberFormat="1" applyFont="1" applyFill="1" applyBorder="1" applyProtection="1"/>
    <xf numFmtId="41" fontId="7" fillId="0" borderId="6" xfId="2" applyNumberFormat="1" applyFont="1" applyFill="1" applyBorder="1"/>
    <xf numFmtId="166" fontId="7" fillId="8" borderId="6" xfId="0" applyNumberFormat="1" applyFont="1" applyFill="1" applyBorder="1" applyProtection="1">
      <protection locked="0"/>
    </xf>
    <xf numFmtId="164" fontId="15" fillId="0" borderId="6" xfId="1" applyNumberFormat="1" applyFont="1" applyFill="1" applyBorder="1" applyAlignment="1" applyProtection="1">
      <alignment horizontal="right" vertical="center"/>
      <protection locked="0"/>
    </xf>
    <xf numFmtId="0" fontId="9" fillId="0" borderId="6" xfId="4" applyFont="1" applyFill="1" applyBorder="1"/>
    <xf numFmtId="0" fontId="9" fillId="0" borderId="6" xfId="0" applyFont="1" applyBorder="1" applyAlignment="1">
      <alignment horizontal="center"/>
    </xf>
    <xf numFmtId="0" fontId="15" fillId="8" borderId="6" xfId="0" applyFont="1" applyFill="1" applyBorder="1" applyProtection="1">
      <protection locked="0"/>
    </xf>
    <xf numFmtId="0" fontId="9" fillId="0" borderId="4" xfId="0" applyFont="1" applyBorder="1" applyAlignment="1">
      <alignment horizontal="center" vertical="center"/>
    </xf>
    <xf numFmtId="0" fontId="30"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166" fontId="7" fillId="8" borderId="6" xfId="5" applyNumberFormat="1" applyFont="1" applyFill="1" applyBorder="1" applyProtection="1">
      <protection locked="0"/>
    </xf>
    <xf numFmtId="0" fontId="15" fillId="0" borderId="6" xfId="0" applyFont="1" applyBorder="1"/>
    <xf numFmtId="0" fontId="15" fillId="8" borderId="6" xfId="0" applyFont="1" applyFill="1" applyBorder="1"/>
    <xf numFmtId="49" fontId="39" fillId="12" borderId="16" xfId="7" applyFont="1" applyFill="1" applyBorder="1" applyAlignment="1" applyProtection="1">
      <alignment horizontal="center" wrapText="1"/>
    </xf>
    <xf numFmtId="41" fontId="7" fillId="0" borderId="6" xfId="0" applyNumberFormat="1" applyFont="1" applyBorder="1"/>
    <xf numFmtId="49" fontId="40" fillId="12" borderId="16" xfId="7" applyFont="1" applyFill="1" applyBorder="1">
      <alignment wrapText="1"/>
    </xf>
    <xf numFmtId="49" fontId="40" fillId="12" borderId="16" xfId="7" applyFont="1" applyFill="1" applyBorder="1" applyProtection="1">
      <alignment wrapText="1"/>
    </xf>
    <xf numFmtId="49" fontId="40" fillId="12" borderId="16" xfId="7" applyFont="1" applyFill="1" applyBorder="1" applyProtection="1">
      <alignment wrapText="1"/>
      <protection locked="0"/>
    </xf>
    <xf numFmtId="0" fontId="9" fillId="0" borderId="6" xfId="0" applyFont="1" applyBorder="1" applyAlignment="1">
      <alignment horizontal="center" wrapText="1"/>
    </xf>
    <xf numFmtId="0" fontId="38" fillId="0" borderId="6" xfId="3" applyFont="1" applyFill="1" applyBorder="1" applyAlignment="1">
      <alignment horizontal="center" vertical="center" wrapText="1"/>
    </xf>
    <xf numFmtId="0" fontId="9" fillId="0" borderId="6" xfId="0" applyFont="1" applyBorder="1" applyAlignment="1">
      <alignment horizontal="left"/>
    </xf>
    <xf numFmtId="42" fontId="7" fillId="0" borderId="6" xfId="1" applyNumberFormat="1" applyFont="1" applyFill="1" applyBorder="1"/>
    <xf numFmtId="164" fontId="7" fillId="0" borderId="6" xfId="1" applyNumberFormat="1" applyFont="1" applyFill="1" applyBorder="1"/>
    <xf numFmtId="164" fontId="9" fillId="0" borderId="6" xfId="1" applyNumberFormat="1" applyFont="1" applyFill="1" applyBorder="1"/>
    <xf numFmtId="0" fontId="7" fillId="0" borderId="4" xfId="0" applyFont="1" applyBorder="1" applyAlignment="1">
      <alignment horizontal="left" vertical="center"/>
    </xf>
    <xf numFmtId="9" fontId="7" fillId="0" borderId="6" xfId="0" applyNumberFormat="1" applyFont="1" applyBorder="1" applyAlignment="1">
      <alignment horizontal="center"/>
    </xf>
    <xf numFmtId="9" fontId="7" fillId="0" borderId="6" xfId="0" applyNumberFormat="1" applyFont="1" applyBorder="1" applyAlignment="1">
      <alignment horizontal="right"/>
    </xf>
    <xf numFmtId="9" fontId="7" fillId="0" borderId="6" xfId="0" applyNumberFormat="1" applyFont="1" applyBorder="1"/>
    <xf numFmtId="9" fontId="7" fillId="0" borderId="6" xfId="1" applyNumberFormat="1" applyFont="1" applyFill="1" applyBorder="1" applyAlignment="1" applyProtection="1">
      <alignment horizontal="center"/>
    </xf>
    <xf numFmtId="41" fontId="7" fillId="0" borderId="6" xfId="1" applyNumberFormat="1" applyFont="1" applyFill="1" applyBorder="1"/>
    <xf numFmtId="9" fontId="7" fillId="0" borderId="6" xfId="1" applyNumberFormat="1" applyFont="1" applyFill="1" applyBorder="1"/>
    <xf numFmtId="9" fontId="7" fillId="0" borderId="6" xfId="1" applyNumberFormat="1" applyFont="1" applyFill="1" applyBorder="1" applyAlignment="1">
      <alignment horizontal="center"/>
    </xf>
    <xf numFmtId="0" fontId="9" fillId="0" borderId="7" xfId="0" applyFont="1" applyBorder="1" applyAlignment="1">
      <alignment horizontal="left"/>
    </xf>
    <xf numFmtId="42" fontId="9" fillId="0" borderId="5" xfId="0" applyNumberFormat="1" applyFont="1" applyBorder="1"/>
    <xf numFmtId="9" fontId="9" fillId="0" borderId="5" xfId="0" applyNumberFormat="1" applyFont="1" applyBorder="1" applyAlignment="1">
      <alignment horizontal="center"/>
    </xf>
    <xf numFmtId="0" fontId="9" fillId="12" borderId="1" xfId="0" applyFont="1" applyFill="1" applyBorder="1" applyAlignment="1">
      <alignment horizontal="left"/>
    </xf>
    <xf numFmtId="42" fontId="9" fillId="12" borderId="1" xfId="0" applyNumberFormat="1" applyFont="1" applyFill="1" applyBorder="1"/>
    <xf numFmtId="9" fontId="9" fillId="12" borderId="1" xfId="0" applyNumberFormat="1" applyFont="1" applyFill="1" applyBorder="1" applyAlignment="1">
      <alignment horizontal="center"/>
    </xf>
    <xf numFmtId="0" fontId="7" fillId="0" borderId="6" xfId="0" applyFont="1" applyBorder="1" applyAlignment="1">
      <alignment horizontal="left" indent="3"/>
    </xf>
    <xf numFmtId="0" fontId="40" fillId="0" borderId="21" xfId="0" applyFont="1" applyBorder="1" applyAlignment="1">
      <alignment horizontal="left"/>
    </xf>
    <xf numFmtId="40" fontId="41" fillId="0" borderId="16" xfId="0" applyNumberFormat="1" applyFont="1" applyBorder="1"/>
    <xf numFmtId="9" fontId="41" fillId="0" borderId="16" xfId="0" applyNumberFormat="1" applyFont="1" applyBorder="1" applyAlignment="1">
      <alignment horizontal="center"/>
    </xf>
    <xf numFmtId="9" fontId="41" fillId="0" borderId="16" xfId="0" applyNumberFormat="1" applyFont="1" applyBorder="1"/>
    <xf numFmtId="40" fontId="7" fillId="0" borderId="6" xfId="1" applyNumberFormat="1" applyFont="1" applyFill="1" applyBorder="1"/>
    <xf numFmtId="0" fontId="7" fillId="0" borderId="6" xfId="0" applyFont="1" applyBorder="1" applyAlignment="1">
      <alignment horizontal="left" vertical="center"/>
    </xf>
    <xf numFmtId="165" fontId="7" fillId="0" borderId="6" xfId="1" applyNumberFormat="1" applyFont="1" applyFill="1" applyBorder="1"/>
    <xf numFmtId="42" fontId="7" fillId="0" borderId="6" xfId="0" applyNumberFormat="1" applyFont="1" applyBorder="1" applyAlignment="1">
      <alignment horizontal="right"/>
    </xf>
    <xf numFmtId="44" fontId="7" fillId="0" borderId="6" xfId="0" applyNumberFormat="1" applyFont="1" applyBorder="1" applyAlignment="1">
      <alignment horizontal="left" vertical="center" wrapText="1"/>
    </xf>
    <xf numFmtId="166" fontId="7" fillId="0" borderId="6" xfId="0" applyNumberFormat="1" applyFont="1" applyBorder="1" applyAlignment="1">
      <alignment horizontal="right" vertical="center" wrapText="1"/>
    </xf>
    <xf numFmtId="0" fontId="7" fillId="0" borderId="6" xfId="0" applyFont="1" applyBorder="1" applyAlignment="1">
      <alignment horizontal="left" indent="2"/>
    </xf>
    <xf numFmtId="165" fontId="7" fillId="0" borderId="6" xfId="2" applyNumberFormat="1" applyFont="1" applyFill="1" applyBorder="1"/>
    <xf numFmtId="10" fontId="7" fillId="0" borderId="6" xfId="5" applyNumberFormat="1" applyFont="1" applyFill="1" applyBorder="1"/>
    <xf numFmtId="166" fontId="9" fillId="0" borderId="6" xfId="5" applyNumberFormat="1" applyFont="1" applyFill="1" applyBorder="1"/>
    <xf numFmtId="0" fontId="7" fillId="0" borderId="6" xfId="5" applyNumberFormat="1" applyFont="1" applyFill="1" applyBorder="1"/>
    <xf numFmtId="0" fontId="7" fillId="0" borderId="6" xfId="1" applyNumberFormat="1" applyFont="1" applyFill="1" applyBorder="1"/>
    <xf numFmtId="42" fontId="9" fillId="0" borderId="6" xfId="1" applyNumberFormat="1" applyFont="1" applyFill="1" applyBorder="1"/>
    <xf numFmtId="42" fontId="9" fillId="0" borderId="6" xfId="2" applyNumberFormat="1" applyFont="1" applyFill="1" applyBorder="1"/>
    <xf numFmtId="0" fontId="7" fillId="8" borderId="6" xfId="0" applyFont="1" applyFill="1" applyBorder="1" applyAlignment="1" applyProtection="1">
      <alignment vertical="center"/>
      <protection locked="0"/>
    </xf>
    <xf numFmtId="165" fontId="7" fillId="0" borderId="6" xfId="2" applyNumberFormat="1" applyFont="1" applyBorder="1"/>
    <xf numFmtId="44" fontId="7" fillId="0" borderId="6" xfId="2" applyFont="1" applyFill="1" applyBorder="1"/>
    <xf numFmtId="168" fontId="7" fillId="0" borderId="6" xfId="0" applyNumberFormat="1" applyFont="1" applyBorder="1"/>
    <xf numFmtId="41" fontId="7" fillId="0" borderId="6" xfId="2" applyNumberFormat="1" applyFont="1" applyFill="1" applyBorder="1" applyProtection="1"/>
    <xf numFmtId="0" fontId="42" fillId="0" borderId="0" xfId="0" applyFont="1"/>
    <xf numFmtId="0" fontId="44" fillId="0" borderId="0" xfId="0" applyFont="1" applyAlignment="1">
      <alignment horizontal="left" vertical="center"/>
    </xf>
    <xf numFmtId="0" fontId="43" fillId="0" borderId="0" xfId="0" applyFont="1"/>
    <xf numFmtId="0" fontId="45" fillId="0" borderId="0" xfId="0" applyFont="1"/>
    <xf numFmtId="0" fontId="46" fillId="0" borderId="0" xfId="0" applyFont="1"/>
    <xf numFmtId="49" fontId="47" fillId="12" borderId="16" xfId="7" applyFont="1" applyFill="1" applyBorder="1" applyAlignment="1">
      <alignment horizontal="center" wrapText="1"/>
    </xf>
    <xf numFmtId="0" fontId="48" fillId="0" borderId="3" xfId="0" applyFont="1" applyBorder="1" applyAlignment="1">
      <alignment vertical="center"/>
    </xf>
    <xf numFmtId="0" fontId="43" fillId="0" borderId="4" xfId="0" applyFont="1" applyBorder="1"/>
    <xf numFmtId="0" fontId="46" fillId="0" borderId="6" xfId="0" applyFont="1" applyBorder="1"/>
    <xf numFmtId="0" fontId="46" fillId="0" borderId="3" xfId="0" applyFont="1" applyBorder="1" applyProtection="1">
      <protection locked="0"/>
    </xf>
    <xf numFmtId="0" fontId="43" fillId="0" borderId="1" xfId="0" applyFont="1" applyBorder="1" applyAlignment="1">
      <alignment horizontal="left"/>
    </xf>
    <xf numFmtId="41" fontId="46" fillId="8" borderId="4" xfId="2" applyNumberFormat="1" applyFont="1" applyFill="1" applyBorder="1" applyProtection="1">
      <protection locked="0"/>
    </xf>
    <xf numFmtId="41" fontId="46" fillId="8" borderId="2" xfId="1" applyNumberFormat="1" applyFont="1" applyFill="1" applyBorder="1" applyProtection="1">
      <protection locked="0"/>
    </xf>
    <xf numFmtId="41" fontId="46" fillId="8" borderId="1" xfId="1" applyNumberFormat="1" applyFont="1" applyFill="1" applyBorder="1" applyProtection="1">
      <protection locked="0"/>
    </xf>
    <xf numFmtId="43" fontId="46" fillId="0" borderId="3" xfId="1" applyFont="1" applyFill="1" applyBorder="1" applyAlignment="1" applyProtection="1">
      <protection locked="0"/>
    </xf>
    <xf numFmtId="0" fontId="43" fillId="0" borderId="1" xfId="0" applyFont="1" applyBorder="1"/>
    <xf numFmtId="42" fontId="46" fillId="0" borderId="1" xfId="1" applyNumberFormat="1" applyFont="1" applyFill="1" applyBorder="1"/>
    <xf numFmtId="42" fontId="46" fillId="0" borderId="8" xfId="1" applyNumberFormat="1" applyFont="1" applyFill="1" applyBorder="1"/>
    <xf numFmtId="0" fontId="42" fillId="0" borderId="3" xfId="0" applyFont="1" applyBorder="1"/>
    <xf numFmtId="0" fontId="47" fillId="0" borderId="25" xfId="0" applyFont="1" applyBorder="1" applyAlignment="1">
      <alignment horizontal="center"/>
    </xf>
    <xf numFmtId="164" fontId="47" fillId="0" borderId="24" xfId="1" applyNumberFormat="1" applyFont="1" applyFill="1" applyBorder="1" applyAlignment="1">
      <alignment horizontal="center"/>
    </xf>
    <xf numFmtId="0" fontId="43" fillId="0" borderId="6" xfId="0" applyFont="1" applyBorder="1"/>
    <xf numFmtId="41" fontId="46" fillId="8" borderId="4" xfId="1" applyNumberFormat="1" applyFont="1" applyFill="1" applyBorder="1" applyProtection="1">
      <protection locked="0"/>
    </xf>
    <xf numFmtId="0" fontId="49" fillId="0" borderId="0" xfId="0" applyFont="1" applyAlignment="1">
      <alignment wrapText="1"/>
    </xf>
    <xf numFmtId="0" fontId="43" fillId="0" borderId="2" xfId="0" applyFont="1" applyBorder="1"/>
    <xf numFmtId="42" fontId="46" fillId="0" borderId="2" xfId="0" applyNumberFormat="1" applyFont="1" applyBorder="1"/>
    <xf numFmtId="42" fontId="43" fillId="0" borderId="2" xfId="0" applyNumberFormat="1" applyFont="1" applyBorder="1"/>
    <xf numFmtId="165" fontId="46" fillId="0" borderId="0" xfId="0" applyNumberFormat="1" applyFont="1"/>
    <xf numFmtId="0" fontId="46" fillId="0" borderId="0" xfId="0" applyFont="1" applyProtection="1">
      <protection locked="0"/>
    </xf>
    <xf numFmtId="0" fontId="43" fillId="0" borderId="6" xfId="0" applyFont="1" applyBorder="1" applyAlignment="1">
      <alignment horizontal="right"/>
    </xf>
    <xf numFmtId="0" fontId="42" fillId="0" borderId="6" xfId="0" applyFont="1" applyBorder="1"/>
    <xf numFmtId="0" fontId="46" fillId="0" borderId="1" xfId="0" applyFont="1" applyBorder="1"/>
    <xf numFmtId="0" fontId="42" fillId="0" borderId="1" xfId="0" applyFont="1" applyBorder="1"/>
    <xf numFmtId="0" fontId="43" fillId="0" borderId="1" xfId="0" applyFont="1" applyBorder="1" applyAlignment="1">
      <alignment horizontal="left" indent="1"/>
    </xf>
    <xf numFmtId="10" fontId="46" fillId="8" borderId="1" xfId="5" applyNumberFormat="1" applyFont="1" applyFill="1" applyBorder="1" applyProtection="1">
      <protection locked="0"/>
    </xf>
    <xf numFmtId="38" fontId="46" fillId="8" borderId="1" xfId="1" applyNumberFormat="1" applyFont="1" applyFill="1" applyBorder="1" applyProtection="1">
      <protection locked="0"/>
    </xf>
    <xf numFmtId="41" fontId="46" fillId="0" borderId="1" xfId="0" applyNumberFormat="1" applyFont="1" applyBorder="1"/>
    <xf numFmtId="0" fontId="42" fillId="0" borderId="5" xfId="0" applyFont="1" applyBorder="1"/>
    <xf numFmtId="42" fontId="43" fillId="0" borderId="1" xfId="0" applyNumberFormat="1" applyFont="1" applyBorder="1"/>
    <xf numFmtId="0" fontId="51" fillId="0" borderId="0" xfId="0" applyFont="1"/>
    <xf numFmtId="41" fontId="46" fillId="0" borderId="6" xfId="0" applyNumberFormat="1" applyFont="1" applyBorder="1"/>
    <xf numFmtId="0" fontId="49" fillId="0" borderId="0" xfId="0" applyFont="1"/>
    <xf numFmtId="0" fontId="46" fillId="0" borderId="1" xfId="0" quotePrefix="1" applyFont="1" applyBorder="1"/>
    <xf numFmtId="0" fontId="52" fillId="0" borderId="0" xfId="0" applyFont="1"/>
    <xf numFmtId="41" fontId="7" fillId="0" borderId="6" xfId="0" applyNumberFormat="1" applyFont="1" applyBorder="1" applyAlignment="1">
      <alignment horizontal="right"/>
    </xf>
    <xf numFmtId="44" fontId="9" fillId="0" borderId="1" xfId="0" applyNumberFormat="1" applyFont="1" applyBorder="1"/>
    <xf numFmtId="0" fontId="54" fillId="0" borderId="0" xfId="0" applyFont="1"/>
    <xf numFmtId="0" fontId="54" fillId="0" borderId="0" xfId="0" applyFont="1" applyProtection="1">
      <protection hidden="1"/>
    </xf>
    <xf numFmtId="0" fontId="40" fillId="12" borderId="16" xfId="7" applyNumberFormat="1" applyFont="1" applyFill="1" applyBorder="1">
      <alignment wrapText="1"/>
    </xf>
    <xf numFmtId="0" fontId="55" fillId="0" borderId="0" xfId="0" applyFont="1" applyAlignment="1" applyProtection="1">
      <alignment vertical="center" wrapText="1"/>
      <protection hidden="1"/>
    </xf>
    <xf numFmtId="10" fontId="46" fillId="0" borderId="6" xfId="5" applyNumberFormat="1" applyFont="1" applyBorder="1"/>
    <xf numFmtId="10" fontId="46" fillId="0" borderId="1" xfId="5" applyNumberFormat="1" applyFont="1" applyBorder="1"/>
    <xf numFmtId="10" fontId="46" fillId="0" borderId="1" xfId="5" applyNumberFormat="1" applyFont="1" applyFill="1" applyBorder="1"/>
    <xf numFmtId="0" fontId="56" fillId="0" borderId="0" xfId="0" applyFont="1"/>
    <xf numFmtId="0" fontId="57" fillId="0" borderId="0" xfId="0" applyFont="1" applyProtection="1">
      <protection hidden="1"/>
    </xf>
    <xf numFmtId="0" fontId="56" fillId="0" borderId="0" xfId="0" applyFont="1" applyProtection="1">
      <protection hidden="1"/>
    </xf>
    <xf numFmtId="42" fontId="56" fillId="0" borderId="0" xfId="0" applyNumberFormat="1" applyFont="1" applyProtection="1">
      <protection hidden="1"/>
    </xf>
    <xf numFmtId="42" fontId="9" fillId="0" borderId="1" xfId="0" applyNumberFormat="1" applyFont="1" applyBorder="1" applyAlignment="1">
      <alignment horizontal="right" vertical="center" wrapText="1"/>
    </xf>
    <xf numFmtId="167" fontId="7" fillId="8" borderId="6" xfId="0" applyNumberFormat="1" applyFont="1" applyFill="1" applyBorder="1" applyProtection="1">
      <protection locked="0"/>
    </xf>
    <xf numFmtId="2" fontId="7" fillId="8" borderId="6" xfId="2" applyNumberFormat="1" applyFont="1" applyFill="1" applyBorder="1" applyProtection="1">
      <protection locked="0"/>
    </xf>
    <xf numFmtId="167" fontId="7" fillId="8" borderId="1" xfId="0" applyNumberFormat="1" applyFont="1" applyFill="1" applyBorder="1" applyProtection="1">
      <protection locked="0"/>
    </xf>
    <xf numFmtId="2" fontId="7" fillId="8" borderId="1" xfId="2" applyNumberFormat="1" applyFont="1" applyFill="1" applyBorder="1" applyProtection="1">
      <protection locked="0"/>
    </xf>
    <xf numFmtId="9" fontId="56" fillId="0" borderId="0" xfId="0" applyNumberFormat="1" applyFont="1" applyAlignment="1">
      <alignment horizontal="center"/>
    </xf>
    <xf numFmtId="9" fontId="56" fillId="0" borderId="0" xfId="0" applyNumberFormat="1" applyFont="1"/>
    <xf numFmtId="0" fontId="57" fillId="0" borderId="0" xfId="0" applyFont="1" applyAlignment="1" applyProtection="1">
      <alignment horizontal="center"/>
      <protection hidden="1"/>
    </xf>
    <xf numFmtId="9" fontId="57" fillId="0" borderId="0" xfId="0" applyNumberFormat="1" applyFont="1" applyAlignment="1" applyProtection="1">
      <alignment horizontal="center"/>
      <protection hidden="1"/>
    </xf>
    <xf numFmtId="42" fontId="56" fillId="0" borderId="0" xfId="0" applyNumberFormat="1" applyFont="1" applyAlignment="1" applyProtection="1">
      <alignment horizontal="center"/>
      <protection hidden="1"/>
    </xf>
    <xf numFmtId="42" fontId="56" fillId="0" borderId="0" xfId="0" applyNumberFormat="1" applyFont="1"/>
    <xf numFmtId="42" fontId="56" fillId="0" borderId="0" xfId="0" applyNumberFormat="1" applyFont="1" applyAlignment="1">
      <alignment horizontal="center"/>
    </xf>
    <xf numFmtId="0" fontId="58" fillId="0" borderId="0" xfId="0" applyFont="1"/>
    <xf numFmtId="41" fontId="46" fillId="0" borderId="1" xfId="2" applyNumberFormat="1" applyFont="1" applyFill="1" applyBorder="1" applyAlignment="1" applyProtection="1">
      <alignment horizontal="right"/>
      <protection locked="0"/>
    </xf>
    <xf numFmtId="44" fontId="7" fillId="0" borderId="1" xfId="2" applyFont="1" applyFill="1" applyBorder="1" applyAlignment="1">
      <alignment horizontal="center"/>
    </xf>
    <xf numFmtId="37" fontId="7" fillId="0" borderId="1" xfId="0" applyNumberFormat="1" applyFont="1" applyBorder="1"/>
    <xf numFmtId="37" fontId="7" fillId="8" borderId="6" xfId="1" applyNumberFormat="1" applyFont="1" applyFill="1" applyBorder="1" applyProtection="1">
      <protection locked="0"/>
    </xf>
    <xf numFmtId="37" fontId="7" fillId="8" borderId="1" xfId="1" applyNumberFormat="1" applyFont="1" applyFill="1" applyBorder="1" applyProtection="1">
      <protection locked="0"/>
    </xf>
    <xf numFmtId="0" fontId="15" fillId="0" borderId="6" xfId="0" applyFont="1" applyBorder="1" applyAlignment="1">
      <alignment horizontal="left" indent="3"/>
    </xf>
    <xf numFmtId="0" fontId="7" fillId="0" borderId="6" xfId="0" applyFont="1" applyBorder="1" applyAlignment="1">
      <alignment horizontal="left"/>
    </xf>
    <xf numFmtId="0" fontId="59" fillId="0" borderId="0" xfId="0" applyFont="1"/>
    <xf numFmtId="0" fontId="60" fillId="0" borderId="0" xfId="0" applyFont="1"/>
    <xf numFmtId="10" fontId="7" fillId="13" borderId="0" xfId="0" applyNumberFormat="1" applyFont="1" applyFill="1" applyAlignment="1" applyProtection="1">
      <alignment horizontal="left" vertical="center"/>
      <protection locked="0"/>
    </xf>
    <xf numFmtId="9" fontId="24" fillId="13" borderId="0" xfId="5" applyFont="1" applyFill="1" applyBorder="1" applyAlignment="1" applyProtection="1">
      <alignment vertical="center"/>
      <protection locked="0"/>
    </xf>
    <xf numFmtId="0" fontId="14" fillId="0" borderId="0" xfId="0" applyFont="1" applyAlignment="1">
      <alignment horizontal="left" vertical="center"/>
    </xf>
    <xf numFmtId="43" fontId="46" fillId="0" borderId="2" xfId="1" applyFont="1" applyFill="1" applyBorder="1" applyAlignment="1" applyProtection="1">
      <alignment horizontal="center"/>
      <protection locked="0"/>
    </xf>
    <xf numFmtId="43" fontId="46" fillId="0" borderId="9" xfId="1" applyFont="1" applyFill="1" applyBorder="1" applyAlignment="1" applyProtection="1">
      <alignment horizontal="center"/>
      <protection locked="0"/>
    </xf>
    <xf numFmtId="0" fontId="46" fillId="0" borderId="18" xfId="0" applyFont="1" applyBorder="1" applyAlignment="1" applyProtection="1">
      <alignment horizontal="center"/>
      <protection locked="0"/>
    </xf>
    <xf numFmtId="0" fontId="46" fillId="0" borderId="19" xfId="0" applyFont="1" applyBorder="1" applyAlignment="1" applyProtection="1">
      <alignment horizontal="center"/>
      <protection locked="0"/>
    </xf>
    <xf numFmtId="0" fontId="46" fillId="0" borderId="20" xfId="0" applyFont="1" applyBorder="1" applyAlignment="1" applyProtection="1">
      <alignment horizontal="center"/>
      <protection locked="0"/>
    </xf>
    <xf numFmtId="0" fontId="47" fillId="0" borderId="2" xfId="0" applyFont="1" applyBorder="1" applyAlignment="1">
      <alignment horizontal="center"/>
    </xf>
    <xf numFmtId="0" fontId="47" fillId="0" borderId="9" xfId="0" applyFont="1" applyBorder="1" applyAlignment="1">
      <alignment horizontal="center"/>
    </xf>
    <xf numFmtId="0" fontId="50" fillId="7" borderId="0" xfId="3" applyFont="1" applyFill="1" applyAlignment="1">
      <alignment horizontal="center" vertical="center" wrapText="1"/>
    </xf>
    <xf numFmtId="0" fontId="43" fillId="0" borderId="0" xfId="0" applyFont="1" applyAlignment="1">
      <alignment horizontal="left" vertical="center"/>
    </xf>
    <xf numFmtId="0" fontId="46" fillId="0" borderId="12" xfId="0" applyFont="1" applyBorder="1" applyAlignment="1" applyProtection="1">
      <alignment horizontal="center"/>
      <protection locked="0"/>
    </xf>
    <xf numFmtId="0" fontId="46" fillId="0" borderId="13" xfId="0" applyFont="1" applyBorder="1" applyAlignment="1" applyProtection="1">
      <alignment horizontal="center"/>
      <protection locked="0"/>
    </xf>
    <xf numFmtId="0" fontId="46" fillId="0" borderId="14" xfId="0" applyFont="1" applyBorder="1" applyAlignment="1" applyProtection="1">
      <alignment horizontal="center"/>
      <protection locked="0"/>
    </xf>
    <xf numFmtId="0" fontId="46" fillId="0" borderId="10" xfId="0" applyFont="1" applyBorder="1" applyAlignment="1" applyProtection="1">
      <alignment horizontal="center"/>
      <protection locked="0"/>
    </xf>
    <xf numFmtId="0" fontId="46" fillId="0" borderId="8" xfId="0" applyFont="1" applyBorder="1" applyAlignment="1" applyProtection="1">
      <alignment horizontal="center"/>
      <protection locked="0"/>
    </xf>
    <xf numFmtId="0" fontId="46" fillId="0" borderId="11" xfId="0" applyFont="1" applyBorder="1" applyAlignment="1" applyProtection="1">
      <alignment horizontal="center"/>
      <protection locked="0"/>
    </xf>
    <xf numFmtId="49" fontId="47" fillId="12" borderId="16" xfId="7" applyFont="1" applyFill="1" applyBorder="1">
      <alignment wrapText="1"/>
    </xf>
    <xf numFmtId="49" fontId="47" fillId="12" borderId="16" xfId="7" applyFont="1" applyFill="1" applyBorder="1" applyAlignment="1">
      <alignment horizontal="center" wrapText="1"/>
    </xf>
    <xf numFmtId="0" fontId="46" fillId="0" borderId="4" xfId="0" applyFont="1" applyBorder="1" applyAlignment="1" applyProtection="1">
      <alignment horizontal="center"/>
      <protection locked="0"/>
    </xf>
    <xf numFmtId="0" fontId="46" fillId="0" borderId="17" xfId="0" applyFont="1" applyBorder="1" applyAlignment="1" applyProtection="1">
      <alignment horizontal="center"/>
      <protection locked="0"/>
    </xf>
    <xf numFmtId="0" fontId="46" fillId="0" borderId="2" xfId="0" applyFont="1" applyBorder="1" applyAlignment="1" applyProtection="1">
      <alignment horizontal="center"/>
      <protection locked="0"/>
    </xf>
    <xf numFmtId="0" fontId="46" fillId="0" borderId="9" xfId="0" applyFont="1" applyBorder="1" applyAlignment="1" applyProtection="1">
      <alignment horizontal="center"/>
      <protection locked="0"/>
    </xf>
    <xf numFmtId="0" fontId="47" fillId="0" borderId="21" xfId="0" applyFont="1" applyBorder="1" applyAlignment="1" applyProtection="1">
      <alignment horizontal="center"/>
      <protection locked="0"/>
    </xf>
    <xf numFmtId="0" fontId="47" fillId="0" borderId="22" xfId="0" applyFont="1" applyBorder="1" applyAlignment="1" applyProtection="1">
      <alignment horizontal="center"/>
      <protection locked="0"/>
    </xf>
    <xf numFmtId="0" fontId="47" fillId="0" borderId="23" xfId="0" applyFont="1" applyBorder="1" applyAlignment="1" applyProtection="1">
      <alignment horizontal="center"/>
      <protection locked="0"/>
    </xf>
    <xf numFmtId="43" fontId="46" fillId="0" borderId="10" xfId="1" applyFont="1" applyFill="1" applyBorder="1" applyAlignment="1" applyProtection="1">
      <alignment horizontal="center"/>
      <protection locked="0"/>
    </xf>
    <xf numFmtId="0" fontId="43" fillId="0" borderId="2" xfId="0" applyFont="1" applyBorder="1" applyAlignment="1">
      <alignment horizontal="center"/>
    </xf>
    <xf numFmtId="0" fontId="43" fillId="0" borderId="8" xfId="0" applyFont="1" applyBorder="1" applyAlignment="1">
      <alignment horizontal="center"/>
    </xf>
    <xf numFmtId="0" fontId="43" fillId="0" borderId="9" xfId="0" applyFont="1" applyBorder="1" applyAlignment="1">
      <alignment horizontal="center"/>
    </xf>
    <xf numFmtId="0" fontId="9" fillId="0" borderId="0" xfId="0" applyFont="1" applyAlignment="1">
      <alignment vertical="center"/>
    </xf>
    <xf numFmtId="0" fontId="7" fillId="0" borderId="0" xfId="0" applyFont="1" applyAlignment="1">
      <alignment vertical="center"/>
    </xf>
    <xf numFmtId="0" fontId="26" fillId="0" borderId="0" xfId="0" applyFont="1" applyAlignment="1">
      <alignment horizontal="center" vertical="center"/>
    </xf>
    <xf numFmtId="0" fontId="9" fillId="0" borderId="0" xfId="0" applyFont="1" applyAlignment="1">
      <alignment horizontal="left" vertical="center"/>
    </xf>
    <xf numFmtId="0" fontId="40" fillId="0" borderId="16" xfId="0" applyFont="1" applyBorder="1" applyAlignment="1">
      <alignment horizontal="left"/>
    </xf>
    <xf numFmtId="49" fontId="40" fillId="12" borderId="16" xfId="7" applyFont="1" applyFill="1" applyBorder="1">
      <alignment wrapText="1"/>
    </xf>
    <xf numFmtId="0" fontId="7" fillId="0" borderId="4" xfId="0" applyFont="1" applyBorder="1" applyAlignment="1">
      <alignment horizontal="left"/>
    </xf>
    <xf numFmtId="0" fontId="7" fillId="0" borderId="17" xfId="0" applyFont="1" applyBorder="1" applyAlignment="1">
      <alignment horizontal="left"/>
    </xf>
    <xf numFmtId="0" fontId="7" fillId="0" borderId="2" xfId="0" applyFont="1" applyBorder="1" applyAlignment="1">
      <alignment horizontal="left"/>
    </xf>
    <xf numFmtId="0" fontId="7" fillId="0" borderId="9" xfId="0" applyFont="1" applyBorder="1" applyAlignment="1">
      <alignment horizontal="left"/>
    </xf>
    <xf numFmtId="0" fontId="23" fillId="0" borderId="0" xfId="0" applyFont="1" applyAlignment="1">
      <alignment horizontal="left" vertical="center"/>
    </xf>
    <xf numFmtId="0" fontId="7" fillId="0" borderId="0" xfId="0" applyFont="1" applyAlignment="1">
      <alignment horizontal="left"/>
    </xf>
    <xf numFmtId="0" fontId="9" fillId="0" borderId="0" xfId="0" quotePrefix="1" applyFont="1" applyAlignment="1">
      <alignment horizontal="left"/>
    </xf>
    <xf numFmtId="0" fontId="9" fillId="0" borderId="0" xfId="0" applyFont="1" applyAlignment="1">
      <alignment horizontal="left"/>
    </xf>
    <xf numFmtId="0" fontId="33" fillId="0" borderId="0" xfId="3" applyFont="1" applyFill="1" applyAlignment="1">
      <alignment horizontal="center" vertical="center"/>
    </xf>
    <xf numFmtId="0" fontId="9" fillId="0" borderId="1" xfId="0" applyFont="1" applyBorder="1" applyAlignment="1">
      <alignment horizontal="center" vertical="center"/>
    </xf>
    <xf numFmtId="0" fontId="7" fillId="0" borderId="0" xfId="0" applyFont="1" applyAlignment="1">
      <alignment horizontal="left" vertical="center"/>
    </xf>
    <xf numFmtId="0" fontId="33" fillId="7" borderId="0" xfId="3" applyFont="1" applyFill="1" applyAlignment="1">
      <alignment horizontal="center" vertical="center"/>
    </xf>
    <xf numFmtId="0" fontId="27" fillId="7" borderId="0" xfId="3" applyFont="1" applyFill="1" applyAlignment="1">
      <alignment horizontal="center" vertical="center"/>
    </xf>
    <xf numFmtId="49" fontId="40" fillId="12" borderId="16" xfId="7" applyFont="1" applyFill="1" applyBorder="1" applyAlignment="1">
      <alignment horizontal="left" wrapText="1"/>
    </xf>
  </cellXfs>
  <cellStyles count="13">
    <cellStyle name="Calculation" xfId="9" builtinId="22" customBuiltin="1"/>
    <cellStyle name="Comma" xfId="1" builtinId="3"/>
    <cellStyle name="Comma 2" xfId="10" xr:uid="{00000000-0005-0000-0000-000002000000}"/>
    <cellStyle name="Currency" xfId="2" builtinId="4"/>
    <cellStyle name="Currency 2" xfId="11" xr:uid="{00000000-0005-0000-0000-000004000000}"/>
    <cellStyle name="Heading 1" xfId="7" builtinId="16" customBuiltin="1"/>
    <cellStyle name="Hyperlink" xfId="3" builtinId="8"/>
    <cellStyle name="Input" xfId="8" builtinId="20" customBuiltin="1"/>
    <cellStyle name="Normal" xfId="0" builtinId="0"/>
    <cellStyle name="Normal 2" xfId="4" xr:uid="{00000000-0005-0000-0000-000009000000}"/>
    <cellStyle name="Percent" xfId="5" builtinId="5"/>
    <cellStyle name="Percent 2" xfId="12" xr:uid="{00000000-0005-0000-0000-00000B000000}"/>
    <cellStyle name="Title 2" xfId="6" xr:uid="{00000000-0005-0000-0000-00000C000000}"/>
  </cellStyles>
  <dxfs count="76">
    <dxf>
      <fill>
        <patternFill>
          <bgColor rgb="FFF89E53"/>
        </patternFill>
      </fill>
    </dxf>
    <dxf>
      <fill>
        <patternFill>
          <bgColor rgb="FFF89E53"/>
        </patternFill>
      </fill>
    </dxf>
    <dxf>
      <fill>
        <patternFill>
          <bgColor rgb="FFF89E53"/>
        </patternFill>
      </fill>
    </dxf>
    <dxf>
      <fill>
        <patternFill>
          <bgColor rgb="FFF89E53"/>
        </patternFill>
      </fill>
    </dxf>
    <dxf>
      <fill>
        <patternFill>
          <bgColor rgb="FFF89E53"/>
        </patternFill>
      </fill>
    </dxf>
    <dxf>
      <fill>
        <patternFill>
          <bgColor rgb="FFF89E53"/>
        </patternFill>
      </fill>
    </dxf>
    <dxf>
      <fill>
        <patternFill>
          <bgColor rgb="FFFF0000"/>
        </patternFill>
      </fill>
    </dxf>
    <dxf>
      <font>
        <color theme="0" tint="-0.24994659260841701"/>
      </font>
    </dxf>
    <dxf>
      <font>
        <color theme="0" tint="-0.24994659260841701"/>
      </font>
    </dxf>
    <dxf>
      <fill>
        <patternFill>
          <bgColor rgb="FFFFD200"/>
        </patternFill>
      </fill>
    </dxf>
    <dxf>
      <fill>
        <patternFill patternType="none">
          <bgColor indexed="65"/>
        </patternFill>
      </fill>
    </dxf>
    <dxf>
      <font>
        <color theme="0" tint="-0.34998626667073579"/>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ill>
        <patternFill>
          <bgColor rgb="FFFFE043"/>
        </patternFill>
      </fill>
    </dxf>
    <dxf>
      <font>
        <color theme="0" tint="-0.24994659260841701"/>
      </font>
    </dxf>
    <dxf>
      <fill>
        <patternFill>
          <bgColor rgb="FFFFE043"/>
        </patternFill>
      </fill>
    </dxf>
    <dxf>
      <font>
        <color theme="4" tint="0.59996337778862885"/>
        <name val="Cambria"/>
        <scheme val="none"/>
      </font>
    </dxf>
    <dxf>
      <font>
        <color theme="4" tint="0.59996337778862885"/>
        <name val="Cambria"/>
        <scheme val="none"/>
      </font>
    </dxf>
    <dxf>
      <font>
        <color theme="4" tint="0.59996337778862885"/>
        <name val="Cambria"/>
        <scheme val="none"/>
      </font>
    </dxf>
    <dxf>
      <fill>
        <patternFill>
          <bgColor rgb="FFFFD200"/>
        </patternFill>
      </fill>
    </dxf>
    <dxf>
      <fill>
        <patternFill>
          <bgColor rgb="FFF89E53"/>
        </patternFill>
      </fill>
    </dxf>
    <dxf>
      <fill>
        <patternFill>
          <bgColor rgb="FFF89E53"/>
        </patternFill>
      </fill>
    </dxf>
    <dxf>
      <font>
        <color theme="4" tint="0.59996337778862885"/>
        <name val="Cambria"/>
        <scheme val="none"/>
      </font>
    </dxf>
    <dxf>
      <font>
        <color theme="4" tint="0.59996337778862885"/>
        <name val="Cambria"/>
        <scheme val="none"/>
      </font>
    </dxf>
    <dxf>
      <font>
        <color theme="4" tint="0.59996337778862885"/>
        <name val="Cambria"/>
        <scheme val="none"/>
      </font>
    </dxf>
    <dxf>
      <font>
        <color theme="0" tint="-0.14996795556505021"/>
        <name val="Cambria"/>
        <scheme val="none"/>
      </font>
    </dxf>
    <dxf>
      <font>
        <color theme="4" tint="0.59996337778862885"/>
        <name val="Cambria"/>
        <scheme val="none"/>
      </font>
    </dxf>
    <dxf>
      <font>
        <color theme="4" tint="0.59996337778862885"/>
        <name val="Cambria"/>
        <scheme val="none"/>
      </font>
    </dxf>
    <dxf>
      <fill>
        <patternFill>
          <bgColor rgb="FFFFD200"/>
        </patternFill>
      </fill>
    </dxf>
    <dxf>
      <fill>
        <patternFill>
          <bgColor rgb="FFF89E53"/>
        </patternFill>
      </fill>
    </dxf>
    <dxf>
      <fill>
        <patternFill>
          <bgColor rgb="FFF89E53"/>
        </patternFill>
      </fill>
    </dxf>
    <dxf>
      <font>
        <color theme="4" tint="0.59996337778862885"/>
        <name val="Cambria"/>
        <scheme val="none"/>
      </font>
    </dxf>
    <dxf>
      <font>
        <color theme="4" tint="0.59996337778862885"/>
        <name val="Cambria"/>
        <scheme val="none"/>
      </font>
    </dxf>
    <dxf>
      <font>
        <color theme="0" tint="-0.14996795556505021"/>
        <name val="Cambria"/>
        <scheme val="none"/>
      </font>
    </dxf>
    <dxf>
      <font>
        <color theme="4" tint="0.59996337778862885"/>
        <name val="Cambria"/>
        <scheme val="none"/>
      </font>
    </dxf>
    <dxf>
      <fill>
        <patternFill>
          <bgColor rgb="FFFFD200"/>
        </patternFill>
      </fill>
    </dxf>
    <dxf>
      <fill>
        <patternFill>
          <bgColor rgb="FFF89E53"/>
        </patternFill>
      </fill>
    </dxf>
    <dxf>
      <fill>
        <patternFill>
          <bgColor rgb="FFF89E53"/>
        </patternFill>
      </fill>
    </dxf>
    <dxf>
      <fill>
        <patternFill>
          <bgColor rgb="FFFFE043"/>
        </patternFill>
      </fill>
    </dxf>
    <dxf>
      <fill>
        <patternFill>
          <bgColor rgb="FFF89E53"/>
        </patternFill>
      </fill>
    </dxf>
    <dxf>
      <fill>
        <patternFill>
          <bgColor rgb="FFF89E53"/>
        </patternFill>
      </fill>
    </dxf>
    <dxf>
      <fill>
        <patternFill>
          <bgColor rgb="FFF89E53"/>
        </patternFill>
      </fill>
    </dxf>
    <dxf>
      <fill>
        <patternFill>
          <bgColor rgb="FFF89E53"/>
        </patternFill>
      </fill>
    </dxf>
    <dxf>
      <fill>
        <patternFill>
          <bgColor rgb="FFF89E53"/>
        </patternFill>
      </fill>
    </dxf>
    <dxf>
      <fill>
        <patternFill>
          <bgColor rgb="FFF89E53"/>
        </patternFill>
      </fill>
    </dxf>
    <dxf>
      <fill>
        <patternFill>
          <bgColor rgb="FFF89E53"/>
        </patternFill>
      </fill>
    </dxf>
    <dxf>
      <fill>
        <patternFill>
          <bgColor rgb="FFF89E53"/>
        </patternFill>
      </fill>
    </dxf>
    <dxf>
      <fill>
        <patternFill>
          <bgColor rgb="FFF89E53"/>
        </patternFill>
      </fill>
    </dxf>
    <dxf>
      <fill>
        <patternFill>
          <bgColor rgb="FFF89E53"/>
        </patternFill>
      </fill>
    </dxf>
    <dxf>
      <fill>
        <patternFill>
          <bgColor rgb="FFF89E53"/>
        </patternFill>
      </fill>
    </dxf>
    <dxf>
      <fill>
        <patternFill>
          <bgColor rgb="FFF89E53"/>
        </patternFill>
      </fill>
    </dxf>
    <dxf>
      <fill>
        <patternFill>
          <bgColor rgb="FFF89E53"/>
        </patternFill>
      </fill>
    </dxf>
    <dxf>
      <fill>
        <patternFill>
          <bgColor rgb="FFF89E53"/>
        </patternFill>
      </fill>
    </dxf>
    <dxf>
      <fill>
        <patternFill>
          <bgColor rgb="FFF89E53"/>
        </patternFill>
      </fill>
    </dxf>
    <dxf>
      <fill>
        <patternFill>
          <bgColor rgb="FFF89E53"/>
        </patternFill>
      </fill>
    </dxf>
    <dxf>
      <fill>
        <patternFill>
          <bgColor rgb="FFF89E53"/>
        </patternFill>
      </fill>
    </dxf>
    <dxf>
      <fill>
        <patternFill>
          <bgColor rgb="FFF89E53"/>
        </patternFill>
      </fill>
    </dxf>
    <dxf>
      <fill>
        <patternFill>
          <bgColor rgb="FFF89E53"/>
        </patternFill>
      </fill>
    </dxf>
    <dxf>
      <fill>
        <patternFill>
          <bgColor rgb="FFF89E53"/>
        </patternFill>
      </fill>
    </dxf>
    <dxf>
      <fill>
        <patternFill>
          <bgColor rgb="FFF89E53"/>
        </patternFill>
      </fill>
    </dxf>
    <dxf>
      <fill>
        <patternFill>
          <bgColor rgb="FFFFD200"/>
        </patternFill>
      </fill>
    </dxf>
    <dxf>
      <fill>
        <patternFill>
          <bgColor rgb="FFFFD200"/>
        </patternFill>
      </fill>
    </dxf>
    <dxf>
      <fill>
        <patternFill>
          <bgColor rgb="FFF89E53"/>
        </patternFill>
      </fill>
    </dxf>
    <dxf>
      <font>
        <color rgb="FFFF0000"/>
      </font>
    </dxf>
    <dxf>
      <font>
        <color rgb="FF6A9F42"/>
      </font>
    </dxf>
    <dxf>
      <font>
        <color rgb="FFFF0000"/>
      </font>
    </dxf>
    <dxf>
      <numFmt numFmtId="30" formatCode="@"/>
      <fill>
        <patternFill>
          <bgColor rgb="FFFF0000"/>
        </patternFill>
      </fill>
    </dxf>
    <dxf>
      <fill>
        <patternFill>
          <bgColor rgb="FFF89E53"/>
        </patternFill>
      </fill>
    </dxf>
    <dxf>
      <fill>
        <patternFill>
          <bgColor rgb="FFF89E53"/>
        </patternFill>
      </fill>
    </dxf>
  </dxfs>
  <tableStyles count="1" defaultTableStyle="TableStyleMedium9" defaultPivotStyle="PivotStyleLight16">
    <tableStyle name="MySqlDefault" pivot="0" table="0" count="0" xr9:uid="{00000000-0011-0000-FFFF-FFFF00000000}"/>
  </tableStyles>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95B"/>
      <color rgb="FF8ACC9E"/>
      <color rgb="FF339966"/>
      <color rgb="FF44C8F5"/>
      <color rgb="FFF89E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xdr:col>
      <xdr:colOff>30480</xdr:colOff>
      <xdr:row>12</xdr:row>
      <xdr:rowOff>140970</xdr:rowOff>
    </xdr:from>
    <xdr:to>
      <xdr:col>4</xdr:col>
      <xdr:colOff>400050</xdr:colOff>
      <xdr:row>38</xdr:row>
      <xdr:rowOff>179070</xdr:rowOff>
    </xdr:to>
    <xdr:sp macro="" textlink="">
      <xdr:nvSpPr>
        <xdr:cNvPr id="80897" name="TextBox 2">
          <a:extLst>
            <a:ext uri="{FF2B5EF4-FFF2-40B4-BE49-F238E27FC236}">
              <a16:creationId xmlns:a16="http://schemas.microsoft.com/office/drawing/2014/main" id="{00000000-0008-0000-0000-0000013C0100}"/>
            </a:ext>
          </a:extLst>
        </xdr:cNvPr>
        <xdr:cNvSpPr txBox="1">
          <a:spLocks noChangeArrowheads="1"/>
        </xdr:cNvSpPr>
      </xdr:nvSpPr>
      <xdr:spPr bwMode="auto">
        <a:xfrm>
          <a:off x="411480" y="2708910"/>
          <a:ext cx="4762500" cy="5585460"/>
        </a:xfrm>
        <a:prstGeom prst="rect">
          <a:avLst/>
        </a:prstGeom>
        <a:noFill/>
        <a:ln w="57150">
          <a:solidFill>
            <a:srgbClr val="44C8F5"/>
          </a:solidFill>
          <a:headEnd/>
          <a:tailEnd/>
        </a:ln>
        <a:effectLst/>
      </xdr:spPr>
      <xdr:style>
        <a:lnRef idx="2">
          <a:schemeClr val="accent5">
            <a:shade val="50000"/>
          </a:schemeClr>
        </a:lnRef>
        <a:fillRef idx="1">
          <a:schemeClr val="accent5"/>
        </a:fillRef>
        <a:effectRef idx="0">
          <a:schemeClr val="accent5"/>
        </a:effectRef>
        <a:fontRef idx="minor">
          <a:schemeClr val="lt1"/>
        </a:fontRef>
      </xdr:style>
      <xdr:txBody>
        <a:bodyPr vertOverflow="clip" wrap="square" lIns="91440" tIns="91440" rIns="0" bIns="0" anchor="t" upright="1"/>
        <a:lstStyle/>
        <a:p>
          <a:pPr algn="l" rtl="0">
            <a:defRPr sz="1000"/>
          </a:pPr>
          <a:endParaRPr lang="en-US" sz="1100" b="0" i="0" u="none" strike="noStrike" baseline="0">
            <a:solidFill>
              <a:sysClr val="windowText" lastClr="000000"/>
            </a:solidFill>
            <a:latin typeface="Calibri"/>
          </a:endParaRPr>
        </a:p>
        <a:p>
          <a:pPr algn="l" rtl="0">
            <a:defRPr sz="1000"/>
          </a:pPr>
          <a:r>
            <a:rPr lang="en-US" sz="1100" b="0" i="0" u="none" strike="noStrike" baseline="0">
              <a:solidFill>
                <a:sysClr val="windowText" lastClr="000000"/>
              </a:solidFill>
              <a:latin typeface="Gill Sans MT" pitchFamily="34" charset="0"/>
            </a:rPr>
            <a:t>This Microsoft Excel Workbook is designed to provide those starting a business or already running a business with information that will allow them to make a "go /no-go" decision. It will help a potential entrepreneur project operating profit, develop a projected income statement, balance sheet and  cash flow forecast.</a:t>
          </a:r>
        </a:p>
        <a:p>
          <a:pPr algn="l" rtl="0">
            <a:defRPr sz="1000"/>
          </a:pPr>
          <a:r>
            <a:rPr lang="en-US" sz="1100" b="0" i="0" u="none" strike="noStrike" baseline="0">
              <a:solidFill>
                <a:sysClr val="windowText" lastClr="000000"/>
              </a:solidFill>
              <a:latin typeface="Gill Sans MT" pitchFamily="34" charset="0"/>
            </a:rPr>
            <a:t> </a:t>
          </a:r>
        </a:p>
        <a:p>
          <a:pPr algn="l" rtl="0">
            <a:defRPr sz="1000"/>
          </a:pPr>
          <a:r>
            <a:rPr lang="en-US" sz="1100" b="0" i="0" u="none" strike="noStrike" baseline="0">
              <a:solidFill>
                <a:sysClr val="windowText" lastClr="000000"/>
              </a:solidFill>
              <a:latin typeface="Gill Sans MT" pitchFamily="34" charset="0"/>
            </a:rPr>
            <a:t>It is designed for a wide variety of users, from those who have little or no accounting or Excel experience to those who may be well versed in finance, accounting and the use of Microsoft Excel.</a:t>
          </a:r>
        </a:p>
        <a:p>
          <a:pPr algn="l" rtl="0">
            <a:defRPr sz="1000"/>
          </a:pPr>
          <a:endParaRPr lang="en-US" sz="1100" b="0" i="0" u="none" strike="noStrike" baseline="0">
            <a:solidFill>
              <a:sysClr val="windowText" lastClr="000000"/>
            </a:solidFill>
            <a:latin typeface="Gill Sans MT" pitchFamily="34" charset="0"/>
          </a:endParaRPr>
        </a:p>
        <a:p>
          <a:pPr algn="l" rtl="0">
            <a:defRPr sz="1000"/>
          </a:pPr>
          <a:r>
            <a:rPr lang="en-US" sz="1100" b="0" i="0" u="none" strike="noStrike" baseline="0">
              <a:solidFill>
                <a:sysClr val="windowText" lastClr="000000"/>
              </a:solidFill>
              <a:latin typeface="Gill Sans MT" pitchFamily="34" charset="0"/>
            </a:rPr>
            <a:t>The workbook contains a number of worksheets, each documented two ways. Extensive directions and guidance for a particular page or on a specific accounting topic are found in blue boxes (like this one) on pages that are not self-explanatory.</a:t>
          </a:r>
        </a:p>
        <a:p>
          <a:pPr algn="l" rtl="0">
            <a:defRPr sz="1000"/>
          </a:pPr>
          <a:endParaRPr lang="en-US" sz="1100" b="0" i="0" u="none" strike="noStrike" baseline="0">
            <a:solidFill>
              <a:sysClr val="windowText" lastClr="000000"/>
            </a:solidFill>
            <a:latin typeface="Gill Sans MT" pitchFamily="34" charset="0"/>
          </a:endParaRPr>
        </a:p>
        <a:p>
          <a:pPr algn="l" rtl="0">
            <a:defRPr sz="1000"/>
          </a:pPr>
          <a:r>
            <a:rPr lang="en-US" sz="1100" b="0" i="0" u="none" strike="noStrike" baseline="0">
              <a:solidFill>
                <a:sysClr val="windowText" lastClr="000000"/>
              </a:solidFill>
              <a:latin typeface="Gill Sans MT" pitchFamily="34" charset="0"/>
            </a:rPr>
            <a:t>The second way this workbook is documented is using Excel comments in a given cell. Comments are normally hidden from sight. If you see a red triangle in the upper right corner of a cell, you can hover your mouse over the triangle to see the note. As your mouse moves away from the triangle, the comment will disappear. </a:t>
          </a:r>
        </a:p>
        <a:p>
          <a:pPr algn="l" rtl="0">
            <a:defRPr sz="1000"/>
          </a:pPr>
          <a:endParaRPr lang="en-US" sz="1100" b="0" i="0" u="none" strike="noStrike" baseline="0">
            <a:solidFill>
              <a:sysClr val="windowText" lastClr="000000"/>
            </a:solidFill>
            <a:latin typeface="Gill Sans MT" pitchFamily="34" charset="0"/>
          </a:endParaRPr>
        </a:p>
        <a:p>
          <a:pPr algn="l" rtl="0">
            <a:defRPr sz="1000"/>
          </a:pPr>
          <a:r>
            <a:rPr lang="en-US" sz="1100" b="0" i="0" u="none" strike="noStrike" baseline="0">
              <a:solidFill>
                <a:sysClr val="windowText" lastClr="000000"/>
              </a:solidFill>
              <a:latin typeface="Gill Sans MT" pitchFamily="34" charset="0"/>
            </a:rPr>
            <a:t>Comments will have a beige background. Each comment may have a specific direction for that cell, may be a reminder of something the author believes important, or may have some additional information about the accounting topic. The cells and formulas in this workbook are protected. Cells with yellow  or light blue backgrounds are designed for user input. All other cells are designed to generate data based on user inputre. </a:t>
          </a:r>
        </a:p>
        <a:p>
          <a:pPr algn="l" rtl="0">
            <a:defRPr sz="1000"/>
          </a:pPr>
          <a:endParaRPr lang="en-US" sz="1100" b="0" i="0" u="none" strike="noStrike" baseline="0">
            <a:solidFill>
              <a:sysClr val="windowText" lastClr="000000"/>
            </a:solidFill>
            <a:latin typeface="Gill Sans MT" pitchFamily="34" charset="0"/>
          </a:endParaRPr>
        </a:p>
        <a:p>
          <a:pPr algn="l" rtl="0">
            <a:defRPr sz="1000"/>
          </a:pPr>
          <a:r>
            <a:rPr lang="en-US" sz="1100" b="0" i="0" u="none" strike="noStrike" baseline="0">
              <a:solidFill>
                <a:sysClr val="windowText" lastClr="000000"/>
              </a:solidFill>
              <a:latin typeface="Gill Sans MT" pitchFamily="34" charset="0"/>
            </a:rPr>
            <a:t>The cells with formulas in this workbook are locked. If changes are needed, the unlock code is "1234." Please use caution when unlocking the spreadsheets. If you want to change a formula, we strongly recommend that you save a copy of this spreadsheet under a different name before doing so. </a:t>
          </a:r>
        </a:p>
      </xdr:txBody>
    </xdr:sp>
    <xdr:clientData fLocksWithSheet="0"/>
  </xdr:twoCellAnchor>
  <xdr:twoCellAnchor>
    <xdr:from>
      <xdr:col>4</xdr:col>
      <xdr:colOff>725804</xdr:colOff>
      <xdr:row>12</xdr:row>
      <xdr:rowOff>133350</xdr:rowOff>
    </xdr:from>
    <xdr:to>
      <xdr:col>7</xdr:col>
      <xdr:colOff>466724</xdr:colOff>
      <xdr:row>20</xdr:row>
      <xdr:rowOff>72391</xdr:rowOff>
    </xdr:to>
    <xdr:grpSp>
      <xdr:nvGrpSpPr>
        <xdr:cNvPr id="3" name="Group 2">
          <a:extLst>
            <a:ext uri="{FF2B5EF4-FFF2-40B4-BE49-F238E27FC236}">
              <a16:creationId xmlns:a16="http://schemas.microsoft.com/office/drawing/2014/main" id="{00000000-0008-0000-0000-000003000000}"/>
            </a:ext>
          </a:extLst>
        </xdr:cNvPr>
        <xdr:cNvGrpSpPr/>
      </xdr:nvGrpSpPr>
      <xdr:grpSpPr>
        <a:xfrm>
          <a:off x="5748725" y="2473575"/>
          <a:ext cx="2915920" cy="1480164"/>
          <a:chOff x="1525904" y="5981700"/>
          <a:chExt cx="2598420" cy="1767841"/>
        </a:xfrm>
      </xdr:grpSpPr>
      <xdr:grpSp>
        <xdr:nvGrpSpPr>
          <xdr:cNvPr id="80898" name="Group 5">
            <a:extLst>
              <a:ext uri="{FF2B5EF4-FFF2-40B4-BE49-F238E27FC236}">
                <a16:creationId xmlns:a16="http://schemas.microsoft.com/office/drawing/2014/main" id="{00000000-0008-0000-0000-0000023C0100}"/>
              </a:ext>
            </a:extLst>
          </xdr:cNvPr>
          <xdr:cNvGrpSpPr>
            <a:grpSpLocks/>
          </xdr:cNvGrpSpPr>
        </xdr:nvGrpSpPr>
        <xdr:grpSpPr bwMode="auto">
          <a:xfrm>
            <a:off x="1525904" y="5981700"/>
            <a:ext cx="2598420" cy="1767841"/>
            <a:chOff x="623672" y="7862889"/>
            <a:chExt cx="2633446" cy="1854360"/>
          </a:xfrm>
        </xdr:grpSpPr>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623672" y="7862889"/>
              <a:ext cx="2633446" cy="18543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a:latin typeface="Gill Sans MT" pitchFamily="34" charset="0"/>
                </a:rPr>
                <a:t>Color-Coding:</a:t>
              </a:r>
            </a:p>
            <a:p>
              <a:endParaRPr lang="en-US" sz="1100"/>
            </a:p>
            <a:p>
              <a:r>
                <a:rPr lang="en-US" sz="1100"/>
                <a:t>                     </a:t>
              </a:r>
            </a:p>
          </xdr:txBody>
        </xdr:sp>
        <xdr:sp macro="" textlink="">
          <xdr:nvSpPr>
            <xdr:cNvPr id="10" name="Rectangle 9">
              <a:extLst>
                <a:ext uri="{FF2B5EF4-FFF2-40B4-BE49-F238E27FC236}">
                  <a16:creationId xmlns:a16="http://schemas.microsoft.com/office/drawing/2014/main" id="{00000000-0008-0000-0000-00000A000000}"/>
                </a:ext>
              </a:extLst>
            </xdr:cNvPr>
            <xdr:cNvSpPr/>
          </xdr:nvSpPr>
          <xdr:spPr>
            <a:xfrm>
              <a:off x="747711" y="8419328"/>
              <a:ext cx="2385368" cy="252401"/>
            </a:xfrm>
            <a:prstGeom prst="rect">
              <a:avLst/>
            </a:prstGeom>
            <a:solidFill>
              <a:srgbClr val="F89E53"/>
            </a:solidFill>
          </xdr:spPr>
          <xdr:style>
            <a:lnRef idx="1">
              <a:schemeClr val="accent1"/>
            </a:lnRef>
            <a:fillRef idx="3">
              <a:schemeClr val="accent1"/>
            </a:fillRef>
            <a:effectRef idx="2">
              <a:schemeClr val="accent1"/>
            </a:effectRef>
            <a:fontRef idx="minor">
              <a:schemeClr val="lt1"/>
            </a:fontRef>
          </xdr:style>
          <xdr:txBody>
            <a:bodyPr vertOverflow="clip" horzOverflow="clip" wrap="square" rtlCol="0" anchor="t"/>
            <a:lstStyle/>
            <a:p>
              <a:pPr algn="ctr"/>
              <a:r>
                <a:rPr lang="en-US" sz="1100" b="1">
                  <a:solidFill>
                    <a:sysClr val="windowText" lastClr="000000"/>
                  </a:solidFill>
                  <a:latin typeface="Gill Sans MT" pitchFamily="34" charset="0"/>
                </a:rPr>
                <a:t>Enter Data Here</a:t>
              </a:r>
            </a:p>
          </xdr:txBody>
        </xdr:sp>
      </xdr:grpSp>
      <xdr:sp macro="" textlink="">
        <xdr:nvSpPr>
          <xdr:cNvPr id="9" name="Rectangle 8">
            <a:extLst>
              <a:ext uri="{FF2B5EF4-FFF2-40B4-BE49-F238E27FC236}">
                <a16:creationId xmlns:a16="http://schemas.microsoft.com/office/drawing/2014/main" id="{00000000-0008-0000-0000-000009000000}"/>
              </a:ext>
            </a:extLst>
          </xdr:cNvPr>
          <xdr:cNvSpPr/>
        </xdr:nvSpPr>
        <xdr:spPr bwMode="auto">
          <a:xfrm>
            <a:off x="1642109" y="7122794"/>
            <a:ext cx="2353821" cy="240625"/>
          </a:xfrm>
          <a:prstGeom prst="rect">
            <a:avLst/>
          </a:prstGeom>
          <a:solidFill>
            <a:srgbClr val="FFC95B"/>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ctr"/>
            <a:r>
              <a:rPr lang="en-US" sz="1100" b="1">
                <a:solidFill>
                  <a:sysClr val="windowText" lastClr="000000"/>
                </a:solidFill>
                <a:latin typeface="Gill Sans MT" pitchFamily="34" charset="0"/>
              </a:rPr>
              <a:t>Adjust as Needed</a:t>
            </a:r>
          </a:p>
        </xdr:txBody>
      </xdr:sp>
    </xdr:grpSp>
    <xdr:clientData/>
  </xdr:twoCellAnchor>
  <xdr:twoCellAnchor>
    <xdr:from>
      <xdr:col>4</xdr:col>
      <xdr:colOff>725803</xdr:colOff>
      <xdr:row>21</xdr:row>
      <xdr:rowOff>28575</xdr:rowOff>
    </xdr:from>
    <xdr:to>
      <xdr:col>7</xdr:col>
      <xdr:colOff>480060</xdr:colOff>
      <xdr:row>37</xdr:row>
      <xdr:rowOff>68580</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bwMode="auto">
        <a:xfrm>
          <a:off x="5252083" y="3930015"/>
          <a:ext cx="2611757" cy="36976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0" i="0" baseline="0">
              <a:solidFill>
                <a:schemeClr val="dk1"/>
              </a:solidFill>
              <a:effectLst/>
              <a:latin typeface="Gill Sans MT" panose="020B0502020104020203" pitchFamily="34" charset="0"/>
              <a:ea typeface="+mn-ea"/>
              <a:cs typeface="+mn-cs"/>
            </a:rPr>
            <a:t>The cells with formulas in this workbook are locked. </a:t>
          </a:r>
          <a:br>
            <a:rPr lang="en-US" sz="1600" b="0" i="0" baseline="0">
              <a:solidFill>
                <a:schemeClr val="dk1"/>
              </a:solidFill>
              <a:effectLst/>
              <a:latin typeface="Gill Sans MT" panose="020B0502020104020203" pitchFamily="34" charset="0"/>
              <a:ea typeface="+mn-ea"/>
              <a:cs typeface="+mn-cs"/>
            </a:rPr>
          </a:br>
          <a:endParaRPr lang="en-US" sz="1600">
            <a:effectLst/>
            <a:latin typeface="Gill Sans MT" panose="020B0502020104020203" pitchFamily="34" charset="0"/>
          </a:endParaRPr>
        </a:p>
        <a:p>
          <a:r>
            <a:rPr lang="en-US" sz="1600" b="1" i="0" baseline="0">
              <a:solidFill>
                <a:schemeClr val="dk1"/>
              </a:solidFill>
              <a:effectLst/>
              <a:latin typeface="Gill Sans MT" panose="020B0502020104020203" pitchFamily="34" charset="0"/>
              <a:ea typeface="+mn-ea"/>
              <a:cs typeface="+mn-cs"/>
            </a:rPr>
            <a:t>If changes are needed, the unlock code is "1234." </a:t>
          </a:r>
          <a:br>
            <a:rPr lang="en-US" sz="1600" b="0" i="0" baseline="0">
              <a:solidFill>
                <a:schemeClr val="dk1"/>
              </a:solidFill>
              <a:effectLst/>
              <a:latin typeface="Gill Sans MT" panose="020B0502020104020203" pitchFamily="34" charset="0"/>
              <a:ea typeface="+mn-ea"/>
              <a:cs typeface="+mn-cs"/>
            </a:rPr>
          </a:br>
          <a:endParaRPr lang="en-US" sz="1600">
            <a:effectLst/>
            <a:latin typeface="Gill Sans MT" panose="020B0502020104020203" pitchFamily="34" charset="0"/>
          </a:endParaRPr>
        </a:p>
        <a:p>
          <a:r>
            <a:rPr lang="en-US" sz="1600" b="0" i="0" baseline="0">
              <a:solidFill>
                <a:schemeClr val="dk1"/>
              </a:solidFill>
              <a:effectLst/>
              <a:latin typeface="Gill Sans MT" panose="020B0502020104020203" pitchFamily="34" charset="0"/>
              <a:ea typeface="+mn-ea"/>
              <a:cs typeface="+mn-cs"/>
            </a:rPr>
            <a:t>Please use caution when unlocking the spreadsheets. If you want to change a formula, we strongly recommend that you save a copy of this spreadsheet under a different name before doing so.</a:t>
          </a:r>
          <a:endParaRPr lang="en-US" sz="1600">
            <a:effectLst/>
            <a:latin typeface="Gill Sans MT" panose="020B0502020104020203" pitchFamily="34" charset="0"/>
          </a:endParaRPr>
        </a:p>
        <a:p>
          <a:endParaRPr lang="en-US" sz="1100"/>
        </a:p>
        <a:p>
          <a:r>
            <a:rPr lang="en-US" sz="1100"/>
            <a:t>                     </a:t>
          </a:r>
        </a:p>
      </xdr:txBody>
    </xdr:sp>
    <xdr:clientData/>
  </xdr:twoCellAnchor>
  <xdr:twoCellAnchor editAs="oneCell">
    <xdr:from>
      <xdr:col>0</xdr:col>
      <xdr:colOff>0</xdr:colOff>
      <xdr:row>0</xdr:row>
      <xdr:rowOff>0</xdr:rowOff>
    </xdr:from>
    <xdr:to>
      <xdr:col>6</xdr:col>
      <xdr:colOff>632460</xdr:colOff>
      <xdr:row>5</xdr:row>
      <xdr:rowOff>43542</xdr:rowOff>
    </xdr:to>
    <xdr:pic>
      <xdr:nvPicPr>
        <xdr:cNvPr id="6" name="Picture 5">
          <a:extLst>
            <a:ext uri="{FF2B5EF4-FFF2-40B4-BE49-F238E27FC236}">
              <a16:creationId xmlns:a16="http://schemas.microsoft.com/office/drawing/2014/main" id="{4E38A735-662D-448D-B529-25CBBC244B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772400" cy="11103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3</xdr:col>
      <xdr:colOff>745944</xdr:colOff>
      <xdr:row>44</xdr:row>
      <xdr:rowOff>36739</xdr:rowOff>
    </xdr:from>
    <xdr:to>
      <xdr:col>5</xdr:col>
      <xdr:colOff>1031713</xdr:colOff>
      <xdr:row>51</xdr:row>
      <xdr:rowOff>2102</xdr:rowOff>
    </xdr:to>
    <xdr:sp macro="" textlink="">
      <xdr:nvSpPr>
        <xdr:cNvPr id="4" name="Text Box 7" descr="Need Help? Ask SCORE.">
          <a:extLst>
            <a:ext uri="{FF2B5EF4-FFF2-40B4-BE49-F238E27FC236}">
              <a16:creationId xmlns:a16="http://schemas.microsoft.com/office/drawing/2014/main" id="{00000000-0008-0000-0100-000004000000}"/>
            </a:ext>
          </a:extLst>
        </xdr:cNvPr>
        <xdr:cNvSpPr txBox="1">
          <a:spLocks noChangeAspect="1" noChangeArrowheads="1"/>
        </xdr:cNvSpPr>
      </xdr:nvSpPr>
      <xdr:spPr bwMode="auto">
        <a:xfrm>
          <a:off x="5184594" y="9333139"/>
          <a:ext cx="2524144" cy="1421131"/>
        </a:xfrm>
        <a:prstGeom prst="rect">
          <a:avLst/>
        </a:prstGeom>
        <a:noFill/>
        <a:ln w="57150">
          <a:solidFill>
            <a:srgbClr val="44C8F5"/>
          </a:solidFill>
          <a:miter lim="800000"/>
          <a:headEnd/>
          <a:tailEnd/>
        </a:ln>
      </xdr:spPr>
      <xdr:txBody>
        <a:bodyPr vertOverflow="clip" wrap="square" lIns="91440" tIns="91440" rIns="91440" bIns="91440" anchor="ctr" anchorCtr="0" upright="1">
          <a:noAutofit/>
        </a:bodyPr>
        <a:lstStyle/>
        <a:p>
          <a:pPr marL="0" marR="0" lvl="0" indent="0" algn="l" defTabSz="914400" rtl="1" eaLnBrk="1" fontAlgn="auto" latinLnBrk="0" hangingPunct="1">
            <a:lnSpc>
              <a:spcPct val="100000"/>
            </a:lnSpc>
            <a:spcBef>
              <a:spcPts val="600"/>
            </a:spcBef>
            <a:spcAft>
              <a:spcPts val="0"/>
            </a:spcAft>
            <a:buClrTx/>
            <a:buSzTx/>
            <a:buFontTx/>
            <a:buNone/>
            <a:tabLst/>
            <a:defRPr sz="1000"/>
          </a:pPr>
          <a:r>
            <a:rPr kumimoji="0" lang="en-US" sz="1100" b="0" i="0" u="none" strike="noStrike" kern="0" cap="none" spc="0" normalizeH="0" baseline="0" noProof="0">
              <a:ln>
                <a:noFill/>
              </a:ln>
              <a:solidFill>
                <a:sysClr val="windowText" lastClr="000000"/>
              </a:solidFill>
              <a:effectLst/>
              <a:uLnTx/>
              <a:uFillTx/>
              <a:latin typeface="Gill Sans MT" pitchFamily="34" charset="0"/>
              <a:cs typeface="Arial"/>
            </a:rPr>
            <a:t>Note: For existing businesses, this should be the "bucket"  </a:t>
          </a:r>
          <a:r>
            <a:rPr lang="en-US" sz="1100" b="0" i="0" baseline="0">
              <a:solidFill>
                <a:sysClr val="windowText" lastClr="000000"/>
              </a:solidFill>
              <a:effectLst/>
              <a:latin typeface="Gill Sans MT" pitchFamily="34" charset="0"/>
              <a:ea typeface="+mn-ea"/>
              <a:cs typeface="+mn-cs"/>
            </a:rPr>
            <a:t>of cash plus receivables that will be turned </a:t>
          </a:r>
          <a:r>
            <a:rPr kumimoji="0" lang="en-US" sz="1100" b="0" i="0" u="none" strike="noStrike" kern="0" cap="none" spc="0" normalizeH="0" baseline="0" noProof="0">
              <a:ln>
                <a:noFill/>
              </a:ln>
              <a:solidFill>
                <a:sysClr val="windowText" lastClr="000000"/>
              </a:solidFill>
              <a:effectLst/>
              <a:uLnTx/>
              <a:uFillTx/>
              <a:latin typeface="Gill Sans MT" pitchFamily="34" charset="0"/>
              <a:cs typeface="Arial"/>
            </a:rPr>
            <a:t>into cash, minus payables that will be paid out in cash in the near term (i.e. in the first months of the plan) </a:t>
          </a:r>
        </a:p>
      </xdr:txBody>
    </xdr:sp>
    <xdr:clientData fLocksWithSheet="0" fPrintsWithSheet="0"/>
  </xdr:twoCellAnchor>
</xdr:wsDr>
</file>

<file path=xl/drawings/drawing3.xml><?xml version="1.0" encoding="utf-8"?>
<xdr:wsDr xmlns:xdr="http://schemas.openxmlformats.org/drawingml/2006/spreadsheetDrawing" xmlns:a="http://schemas.openxmlformats.org/drawingml/2006/main">
  <xdr:twoCellAnchor>
    <xdr:from>
      <xdr:col>7</xdr:col>
      <xdr:colOff>38100</xdr:colOff>
      <xdr:row>2</xdr:row>
      <xdr:rowOff>83820</xdr:rowOff>
    </xdr:from>
    <xdr:to>
      <xdr:col>11</xdr:col>
      <xdr:colOff>632460</xdr:colOff>
      <xdr:row>8</xdr:row>
      <xdr:rowOff>83820</xdr:rowOff>
    </xdr:to>
    <xdr:sp macro="" textlink="">
      <xdr:nvSpPr>
        <xdr:cNvPr id="7" name="TextBox 6">
          <a:extLst>
            <a:ext uri="{FF2B5EF4-FFF2-40B4-BE49-F238E27FC236}">
              <a16:creationId xmlns:a16="http://schemas.microsoft.com/office/drawing/2014/main" id="{C19C6066-8349-DE8D-8C7E-2D7A27C48A56}"/>
            </a:ext>
          </a:extLst>
        </xdr:cNvPr>
        <xdr:cNvSpPr txBox="1"/>
      </xdr:nvSpPr>
      <xdr:spPr>
        <a:xfrm>
          <a:off x="7330440" y="434340"/>
          <a:ext cx="3535680" cy="1508760"/>
        </a:xfrm>
        <a:prstGeom prst="rect">
          <a:avLst/>
        </a:prstGeom>
        <a:solidFill>
          <a:schemeClr val="lt1"/>
        </a:solidFill>
        <a:ln w="57150" cmpd="sng">
          <a:solidFill>
            <a:schemeClr val="bg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solidFill>
                <a:schemeClr val="dk1"/>
              </a:solidFill>
              <a:effectLst/>
              <a:latin typeface="+mn-lt"/>
              <a:ea typeface="+mn-ea"/>
              <a:cs typeface="+mn-cs"/>
            </a:rPr>
            <a:t>Enter units sold for month 1. Months 2-12 will then populate based on the monthly compounded growth rate you select in cells C3, D3, E3 and F3.</a:t>
          </a:r>
          <a:endParaRPr lang="en-US">
            <a:effectLst/>
          </a:endParaRPr>
        </a:p>
        <a:p>
          <a:r>
            <a:rPr lang="en-US" sz="1100">
              <a:solidFill>
                <a:schemeClr val="dk1"/>
              </a:solidFill>
              <a:effectLst/>
              <a:latin typeface="+mn-lt"/>
              <a:ea typeface="+mn-ea"/>
              <a:cs typeface="+mn-cs"/>
            </a:rPr>
            <a:t>The</a:t>
          </a:r>
          <a:r>
            <a:rPr lang="en-US" sz="1100" baseline="0">
              <a:solidFill>
                <a:schemeClr val="dk1"/>
              </a:solidFill>
              <a:effectLst/>
              <a:latin typeface="+mn-lt"/>
              <a:ea typeface="+mn-ea"/>
              <a:cs typeface="+mn-cs"/>
            </a:rPr>
            <a:t> included growth rate is just a starting point, if you can provide a more accurate prediction for each month, unlock the sheet (see Directions) and change the value for that month.</a:t>
          </a:r>
          <a:endParaRPr lang="en-US">
            <a:effectLst/>
          </a:endParaRPr>
        </a:p>
        <a:p>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4</xdr:col>
      <xdr:colOff>13809</xdr:colOff>
      <xdr:row>1</xdr:row>
      <xdr:rowOff>0</xdr:rowOff>
    </xdr:from>
    <xdr:to>
      <xdr:col>9</xdr:col>
      <xdr:colOff>353786</xdr:colOff>
      <xdr:row>7</xdr:row>
      <xdr:rowOff>48578</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a:off x="5260723" y="152400"/>
          <a:ext cx="3492752" cy="1515428"/>
        </a:xfrm>
        <a:prstGeom prst="rect">
          <a:avLst/>
        </a:prstGeom>
        <a:noFill/>
        <a:ln w="57150" cmpd="sng">
          <a:solidFill>
            <a:srgbClr val="44C8F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900" baseline="0">
            <a:solidFill>
              <a:sysClr val="windowText" lastClr="000000"/>
            </a:solidFill>
            <a:latin typeface="Gill Sans MT" pitchFamily="34" charset="0"/>
          </a:endParaRPr>
        </a:p>
        <a:p>
          <a:r>
            <a:rPr lang="en-US" sz="900" baseline="0">
              <a:solidFill>
                <a:sysClr val="windowText" lastClr="000000"/>
              </a:solidFill>
              <a:latin typeface="Gill Sans MT" pitchFamily="34" charset="0"/>
            </a:rPr>
            <a:t>This sheet will populate based on information in the year 1 Sales Forecast.</a:t>
          </a:r>
        </a:p>
        <a:p>
          <a:endParaRPr lang="en-US" sz="900" baseline="0">
            <a:solidFill>
              <a:sysClr val="windowText" lastClr="000000"/>
            </a:solidFill>
            <a:effectLst/>
            <a:latin typeface="Gill Sans MT" pitchFamily="34" charset="0"/>
          </a:endParaRPr>
        </a:p>
        <a:p>
          <a:r>
            <a:rPr lang="en-US" sz="900">
              <a:solidFill>
                <a:sysClr val="windowText" lastClr="000000"/>
              </a:solidFill>
              <a:effectLst/>
              <a:latin typeface="Gill Sans MT" pitchFamily="34" charset="0"/>
            </a:rPr>
            <a:t>The</a:t>
          </a:r>
          <a:r>
            <a:rPr lang="en-US" sz="900" baseline="0">
              <a:solidFill>
                <a:sysClr val="windowText" lastClr="000000"/>
              </a:solidFill>
              <a:effectLst/>
              <a:latin typeface="Gill Sans MT" pitchFamily="34" charset="0"/>
            </a:rPr>
            <a:t> included growth rate is just a starting point, if you can provide a more accurate prediction for each month, unlock the sheet (see Directions) and change the value for that month. Please note that you will no longer have a formula in that cell once you change the value, so you may want to save a copy of this spreadsheet under a different name before doing so. </a:t>
          </a:r>
          <a:endParaRPr lang="en-US" sz="900">
            <a:solidFill>
              <a:sysClr val="windowText" lastClr="000000"/>
            </a:solidFill>
            <a:effectLst/>
            <a:latin typeface="Gill Sans MT" pitchFamily="34" charset="0"/>
          </a:endParaRPr>
        </a:p>
        <a:p>
          <a:endParaRPr lang="en-US" sz="900">
            <a:solidFill>
              <a:sysClr val="windowText" lastClr="000000"/>
            </a:solidFill>
          </a:endParaRP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editAs="absolute">
    <xdr:from>
      <xdr:col>3</xdr:col>
      <xdr:colOff>457200</xdr:colOff>
      <xdr:row>1</xdr:row>
      <xdr:rowOff>121126</xdr:rowOff>
    </xdr:from>
    <xdr:to>
      <xdr:col>14</xdr:col>
      <xdr:colOff>733426</xdr:colOff>
      <xdr:row>4</xdr:row>
      <xdr:rowOff>28575</xdr:rowOff>
    </xdr:to>
    <xdr:sp macro="" textlink="">
      <xdr:nvSpPr>
        <xdr:cNvPr id="2" name="TextBox 1">
          <a:extLst>
            <a:ext uri="{FF2B5EF4-FFF2-40B4-BE49-F238E27FC236}">
              <a16:creationId xmlns:a16="http://schemas.microsoft.com/office/drawing/2014/main" id="{00000000-0008-0000-0A00-000002000000}"/>
            </a:ext>
          </a:extLst>
        </xdr:cNvPr>
        <xdr:cNvSpPr txBox="1"/>
      </xdr:nvSpPr>
      <xdr:spPr>
        <a:xfrm>
          <a:off x="4257675" y="292576"/>
          <a:ext cx="7972426" cy="574199"/>
        </a:xfrm>
        <a:prstGeom prst="rect">
          <a:avLst/>
        </a:prstGeom>
        <a:solidFill>
          <a:schemeClr val="bg1"/>
        </a:solidFill>
        <a:ln w="57150" cmpd="sng">
          <a:solidFill>
            <a:srgbClr val="44C8F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solidFill>
                <a:sysClr val="windowText" lastClr="000000"/>
              </a:solidFill>
              <a:latin typeface="Gill Sans MT" pitchFamily="34" charset="0"/>
            </a:rPr>
            <a:t>NOTE: To only</a:t>
          </a:r>
          <a:r>
            <a:rPr lang="en-US" sz="900" baseline="0">
              <a:solidFill>
                <a:sysClr val="windowText" lastClr="000000"/>
              </a:solidFill>
              <a:latin typeface="Gill Sans MT" pitchFamily="34" charset="0"/>
            </a:rPr>
            <a:t> view the annual total side-by-side, highlight columns C through N</a:t>
          </a:r>
        </a:p>
        <a:p>
          <a:r>
            <a:rPr lang="en-US" sz="900" baseline="0">
              <a:solidFill>
                <a:sysClr val="windowText" lastClr="000000"/>
              </a:solidFill>
              <a:latin typeface="Gill Sans MT" pitchFamily="34" charset="0"/>
            </a:rPr>
            <a:t> and right-click. Then select "Hide". Use the same procedure to Hide columns P through AA. </a:t>
          </a:r>
          <a:r>
            <a:rPr lang="en-US" sz="900" baseline="0">
              <a:solidFill>
                <a:sysClr val="windowText" lastClr="000000"/>
              </a:solidFill>
              <a:effectLst/>
              <a:latin typeface="Gill Sans MT" pitchFamily="34" charset="0"/>
              <a:ea typeface="+mn-ea"/>
              <a:cs typeface="+mn-cs"/>
            </a:rPr>
            <a:t>To show them again, highlight columns B, O and AB, right-click and select "Unhide". </a:t>
          </a:r>
          <a:endParaRPr lang="en-US" sz="900">
            <a:solidFill>
              <a:sysClr val="windowText" lastClr="000000"/>
            </a:solidFill>
            <a:latin typeface="Gill Sans MT" pitchFamily="34" charset="0"/>
          </a:endParaRPr>
        </a:p>
      </xdr:txBody>
    </xdr:sp>
    <xdr:clientData fPrintsWithSheet="0"/>
  </xdr:twoCellAnchor>
</xdr:wsDr>
</file>

<file path=xl/drawings/drawing6.xml><?xml version="1.0" encoding="utf-8"?>
<xdr:wsDr xmlns:xdr="http://schemas.openxmlformats.org/drawingml/2006/spreadsheetDrawing" xmlns:a="http://schemas.openxmlformats.org/drawingml/2006/main">
  <xdr:oneCellAnchor>
    <xdr:from>
      <xdr:col>3</xdr:col>
      <xdr:colOff>487137</xdr:colOff>
      <xdr:row>8</xdr:row>
      <xdr:rowOff>10002</xdr:rowOff>
    </xdr:from>
    <xdr:ext cx="3490503" cy="2961797"/>
    <xdr:sp macro="" textlink="">
      <xdr:nvSpPr>
        <xdr:cNvPr id="3" name="Text Box 2">
          <a:extLst>
            <a:ext uri="{FF2B5EF4-FFF2-40B4-BE49-F238E27FC236}">
              <a16:creationId xmlns:a16="http://schemas.microsoft.com/office/drawing/2014/main" id="{00000000-0008-0000-0E00-000003000000}"/>
            </a:ext>
          </a:extLst>
        </xdr:cNvPr>
        <xdr:cNvSpPr txBox="1">
          <a:spLocks noChangeAspect="1" noChangeArrowheads="1"/>
        </xdr:cNvSpPr>
      </xdr:nvSpPr>
      <xdr:spPr bwMode="auto">
        <a:xfrm>
          <a:off x="4975317" y="1419702"/>
          <a:ext cx="3490503" cy="2961797"/>
        </a:xfrm>
        <a:prstGeom prst="rect">
          <a:avLst/>
        </a:prstGeom>
        <a:noFill/>
        <a:ln w="57150">
          <a:solidFill>
            <a:srgbClr val="44C8F5"/>
          </a:solidFill>
          <a:miter lim="800000"/>
          <a:headEnd/>
          <a:tailEnd/>
        </a:ln>
      </xdr:spPr>
      <xdr:txBody>
        <a:bodyPr vertOverflow="clip" wrap="square" lIns="27432" tIns="22860" rIns="0" bIns="0" anchor="t" upright="1">
          <a:noAutofit/>
        </a:bodyPr>
        <a:lstStyle/>
        <a:p>
          <a:pPr algn="l" rtl="0">
            <a:defRPr sz="1000"/>
          </a:pPr>
          <a:r>
            <a:rPr lang="en-US" sz="900" b="1" i="0" u="none" strike="noStrike" baseline="0">
              <a:solidFill>
                <a:sysClr val="windowText" lastClr="000000"/>
              </a:solidFill>
              <a:latin typeface="Gill Sans MT" pitchFamily="34" charset="0"/>
              <a:cs typeface="Arial"/>
            </a:rPr>
            <a:t>Breakeven Sales Level</a:t>
          </a:r>
        </a:p>
        <a:p>
          <a:pPr algn="l" rtl="0">
            <a:defRPr sz="1000"/>
          </a:pPr>
          <a:endParaRPr lang="en-US" sz="900" b="1" i="0" u="sng" strike="noStrike" baseline="0">
            <a:solidFill>
              <a:sysClr val="windowText" lastClr="000000"/>
            </a:solidFill>
            <a:latin typeface="Gill Sans MT" pitchFamily="34" charset="0"/>
            <a:cs typeface="Arial"/>
          </a:endParaRPr>
        </a:p>
        <a:p>
          <a:pPr algn="l" rtl="0">
            <a:defRPr sz="1000"/>
          </a:pPr>
          <a:r>
            <a:rPr lang="en-US" sz="900" b="0" i="0" u="none" strike="noStrike" baseline="0">
              <a:solidFill>
                <a:sysClr val="windowText" lastClr="000000"/>
              </a:solidFill>
              <a:latin typeface="Gill Sans MT" pitchFamily="34" charset="0"/>
              <a:cs typeface="Arial"/>
            </a:rPr>
            <a:t>The breakeven sales level represents the number of units that must be sold in order to break even. This means that revenues are equal to expenses. Any units sold beyond this quantity will allow the company to generate net income.</a:t>
          </a:r>
          <a:endParaRPr lang="en-US" sz="900" b="1" i="0" u="sng" strike="noStrike" baseline="0">
            <a:solidFill>
              <a:sysClr val="windowText" lastClr="000000"/>
            </a:solidFill>
            <a:latin typeface="Gill Sans MT" pitchFamily="34" charset="0"/>
            <a:cs typeface="Arial"/>
          </a:endParaRPr>
        </a:p>
        <a:p>
          <a:pPr algn="l" rtl="0">
            <a:defRPr sz="1000"/>
          </a:pPr>
          <a:endParaRPr lang="en-US" sz="900" b="0" i="0" u="none" strike="noStrike" baseline="0">
            <a:solidFill>
              <a:sysClr val="windowText" lastClr="000000"/>
            </a:solidFill>
            <a:latin typeface="Gill Sans MT" pitchFamily="34" charset="0"/>
            <a:cs typeface="Arial"/>
          </a:endParaRPr>
        </a:p>
        <a:p>
          <a:pPr algn="l" rtl="0">
            <a:defRPr sz="1000"/>
          </a:pPr>
          <a:r>
            <a:rPr lang="en-US" sz="900" b="0" i="0" u="none" strike="noStrike" baseline="0">
              <a:solidFill>
                <a:sysClr val="windowText" lastClr="000000"/>
              </a:solidFill>
              <a:latin typeface="Gill Sans MT" pitchFamily="34" charset="0"/>
              <a:cs typeface="Arial"/>
            </a:rPr>
            <a:t>One of the best uses of breakeven analysis is to play with various scenarios. For instance, if you add another person to the payroll, how many extra sales dollars will be needed to recover the extra salary expense? If you borrow, how much will be needed to cover the increased principal and interest payments? Many owners, especially retailers, like to calculate a daily breakdown. This gives everyone a target to shoot at for the day.</a:t>
          </a:r>
        </a:p>
        <a:p>
          <a:pPr algn="l" rtl="0">
            <a:defRPr sz="1000"/>
          </a:pPr>
          <a:endParaRPr lang="en-US" sz="900" b="0" i="0" u="none" strike="noStrike" baseline="0">
            <a:solidFill>
              <a:sysClr val="windowText" lastClr="000000"/>
            </a:solidFill>
            <a:latin typeface="Gill Sans MT" pitchFamily="34" charset="0"/>
            <a:cs typeface="Arial"/>
          </a:endParaRPr>
        </a:p>
        <a:p>
          <a:pPr algn="l" rtl="0">
            <a:defRPr sz="1000"/>
          </a:pPr>
          <a:r>
            <a:rPr lang="en-US" sz="900" b="0" i="0" u="none" strike="noStrike" baseline="0">
              <a:solidFill>
                <a:sysClr val="windowText" lastClr="000000"/>
              </a:solidFill>
              <a:latin typeface="Gill Sans MT" pitchFamily="34" charset="0"/>
              <a:cs typeface="Arial"/>
            </a:rPr>
            <a:t>Equation:</a:t>
          </a:r>
        </a:p>
        <a:p>
          <a:pPr algn="l" rtl="0">
            <a:defRPr sz="1000"/>
          </a:pPr>
          <a:endParaRPr lang="en-US" sz="900" b="0" i="0" u="none" strike="noStrike" baseline="0">
            <a:solidFill>
              <a:sysClr val="windowText" lastClr="000000"/>
            </a:solidFill>
            <a:latin typeface="Gill Sans MT" pitchFamily="34" charset="0"/>
            <a:cs typeface="Arial"/>
          </a:endParaRPr>
        </a:p>
        <a:p>
          <a:pPr algn="l" rtl="0">
            <a:defRPr sz="1000"/>
          </a:pPr>
          <a:r>
            <a:rPr lang="en-US" sz="900" b="0" i="0" u="none" strike="noStrike" baseline="0">
              <a:solidFill>
                <a:sysClr val="windowText" lastClr="000000"/>
              </a:solidFill>
              <a:latin typeface="Gill Sans MT" pitchFamily="34" charset="0"/>
              <a:cs typeface="Arial"/>
            </a:rPr>
            <a:t>Breakeven Point = Total Fixed Costs/ (Gross Margin/Total Sales)</a:t>
          </a:r>
        </a:p>
        <a:p>
          <a:pPr algn="l" rtl="0">
            <a:defRPr sz="1000"/>
          </a:pPr>
          <a:endParaRPr lang="en-US" sz="900" b="0" i="0" u="none" strike="noStrike" baseline="0">
            <a:solidFill>
              <a:sysClr val="windowText" lastClr="000000"/>
            </a:solidFill>
            <a:latin typeface="Gill Sans MT" pitchFamily="34" charset="0"/>
            <a:cs typeface="Arial"/>
          </a:endParaRPr>
        </a:p>
        <a:p>
          <a:pPr algn="l" rtl="0">
            <a:defRPr sz="1000"/>
          </a:pPr>
          <a:endParaRPr lang="en-US" sz="900" b="0" i="0" u="none" strike="noStrike" baseline="0">
            <a:solidFill>
              <a:sysClr val="windowText" lastClr="000000"/>
            </a:solidFill>
            <a:latin typeface="Gill Sans MT" pitchFamily="34" charset="0"/>
            <a:cs typeface="Arial"/>
          </a:endParaRPr>
        </a:p>
        <a:p>
          <a:pPr algn="l" rtl="0">
            <a:defRPr sz="1000"/>
          </a:pPr>
          <a:endParaRPr lang="en-US" sz="900" b="0" i="0" u="none" strike="noStrike" baseline="0">
            <a:solidFill>
              <a:sysClr val="windowText" lastClr="000000"/>
            </a:solidFill>
            <a:latin typeface="Gill Sans MT" pitchFamily="34" charset="0"/>
            <a:cs typeface="Arial"/>
          </a:endParaRPr>
        </a:p>
        <a:p>
          <a:pPr algn="l" rtl="0">
            <a:defRPr sz="1000"/>
          </a:pPr>
          <a:endParaRPr lang="en-US" sz="900" b="0" i="0" u="none" strike="noStrike" baseline="0">
            <a:solidFill>
              <a:sysClr val="windowText" lastClr="000000"/>
            </a:solidFill>
            <a:latin typeface="Gill Sans MT" pitchFamily="34" charset="0"/>
            <a:cs typeface="Arial"/>
          </a:endParaRPr>
        </a:p>
      </xdr:txBody>
    </xdr:sp>
    <xdr:clientData fLocksWithSheet="0" fPrintsWithSheet="0"/>
  </xdr:oneCellAnchor>
</xdr:wsDr>
</file>

<file path=xl/drawings/drawing7.xml><?xml version="1.0" encoding="utf-8"?>
<xdr:wsDr xmlns:xdr="http://schemas.openxmlformats.org/drawingml/2006/spreadsheetDrawing" xmlns:a="http://schemas.openxmlformats.org/drawingml/2006/main">
  <xdr:oneCellAnchor>
    <xdr:from>
      <xdr:col>7</xdr:col>
      <xdr:colOff>69638</xdr:colOff>
      <xdr:row>5</xdr:row>
      <xdr:rowOff>82760</xdr:rowOff>
    </xdr:from>
    <xdr:ext cx="2544022" cy="2180380"/>
    <xdr:sp macro="" textlink="">
      <xdr:nvSpPr>
        <xdr:cNvPr id="2" name="TextBox 1">
          <a:extLst>
            <a:ext uri="{FF2B5EF4-FFF2-40B4-BE49-F238E27FC236}">
              <a16:creationId xmlns:a16="http://schemas.microsoft.com/office/drawing/2014/main" id="{00000000-0008-0000-0F00-000002000000}"/>
            </a:ext>
          </a:extLst>
        </xdr:cNvPr>
        <xdr:cNvSpPr txBox="1">
          <a:spLocks noChangeAspect="1"/>
        </xdr:cNvSpPr>
      </xdr:nvSpPr>
      <xdr:spPr>
        <a:xfrm>
          <a:off x="8428778" y="959060"/>
          <a:ext cx="2544022" cy="2180380"/>
        </a:xfrm>
        <a:prstGeom prst="rect">
          <a:avLst/>
        </a:prstGeom>
        <a:noFill/>
        <a:ln w="57150" cmpd="sng">
          <a:solidFill>
            <a:srgbClr val="44C8F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r>
            <a:rPr lang="en-US" sz="900" b="0" i="0" u="none" strike="noStrike">
              <a:solidFill>
                <a:sysClr val="windowText" lastClr="000000"/>
              </a:solidFill>
              <a:effectLst/>
              <a:latin typeface="Gill Sans MT" pitchFamily="34" charset="0"/>
              <a:ea typeface="+mn-ea"/>
              <a:cs typeface="+mn-cs"/>
            </a:rPr>
            <a:t>This sheet shows some common financial ratios.</a:t>
          </a:r>
          <a:r>
            <a:rPr lang="en-US" sz="900" b="0" i="0" u="none" strike="noStrike" baseline="0">
              <a:solidFill>
                <a:sysClr val="windowText" lastClr="000000"/>
              </a:solidFill>
              <a:effectLst/>
              <a:latin typeface="Gill Sans MT" pitchFamily="34" charset="0"/>
              <a:ea typeface="+mn-ea"/>
              <a:cs typeface="+mn-cs"/>
            </a:rPr>
            <a:t> There is a column where you can enter industry norms. To get these, contact your local library or bank to see if they have copies of the Risk Management Association (RMA) Annual Statement or refer to industry publications and trade magazines. Speak with your mentor to ensure you are using the appropriate resources. </a:t>
          </a:r>
          <a:endParaRPr lang="en-US" sz="900" b="0">
            <a:solidFill>
              <a:sysClr val="windowText" lastClr="000000"/>
            </a:solidFill>
            <a:latin typeface="Gill Sans MT" pitchFamily="34" charset="0"/>
          </a:endParaRPr>
        </a:p>
      </xdr:txBody>
    </xdr:sp>
    <xdr:clientData fPrintsWithSheet="0"/>
  </xdr:oneCellAnchor>
</xdr:wsDr>
</file>

<file path=xl/drawings/drawing8.xml><?xml version="1.0" encoding="utf-8"?>
<xdr:wsDr xmlns:xdr="http://schemas.openxmlformats.org/drawingml/2006/spreadsheetDrawing" xmlns:a="http://schemas.openxmlformats.org/drawingml/2006/main">
  <xdr:oneCellAnchor>
    <xdr:from>
      <xdr:col>5</xdr:col>
      <xdr:colOff>32365</xdr:colOff>
      <xdr:row>6</xdr:row>
      <xdr:rowOff>25399</xdr:rowOff>
    </xdr:from>
    <xdr:ext cx="3409336" cy="1435101"/>
    <xdr:sp macro="" textlink="">
      <xdr:nvSpPr>
        <xdr:cNvPr id="2" name="TextBox 1">
          <a:extLst>
            <a:ext uri="{FF2B5EF4-FFF2-40B4-BE49-F238E27FC236}">
              <a16:creationId xmlns:a16="http://schemas.microsoft.com/office/drawing/2014/main" id="{00000000-0008-0000-1000-000002000000}"/>
            </a:ext>
          </a:extLst>
        </xdr:cNvPr>
        <xdr:cNvSpPr txBox="1">
          <a:spLocks noChangeAspect="1"/>
        </xdr:cNvSpPr>
      </xdr:nvSpPr>
      <xdr:spPr>
        <a:xfrm>
          <a:off x="8922365" y="1092199"/>
          <a:ext cx="3409336" cy="1435101"/>
        </a:xfrm>
        <a:prstGeom prst="rect">
          <a:avLst/>
        </a:prstGeom>
        <a:noFill/>
        <a:ln w="57150" cmpd="sng">
          <a:solidFill>
            <a:srgbClr val="44C8F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r>
            <a:rPr lang="en-US" sz="900" b="0" i="0" u="none" strike="noStrike">
              <a:solidFill>
                <a:sysClr val="windowText" lastClr="000000"/>
              </a:solidFill>
              <a:effectLst/>
              <a:latin typeface="Gill Sans MT" pitchFamily="34" charset="0"/>
              <a:ea typeface="+mn-ea"/>
              <a:cs typeface="+mn-cs"/>
            </a:rPr>
            <a:t>This sheet performs a few tests on your numbers to see if they seem within certain reasonable ranges.</a:t>
          </a:r>
          <a:r>
            <a:rPr lang="en-US" sz="900" b="0">
              <a:solidFill>
                <a:sysClr val="windowText" lastClr="000000"/>
              </a:solidFill>
              <a:latin typeface="Gill Sans MT" pitchFamily="34" charset="0"/>
            </a:rPr>
            <a:t> </a:t>
          </a:r>
          <a:r>
            <a:rPr lang="en-US" sz="900" b="0" i="0" u="none" strike="noStrike">
              <a:solidFill>
                <a:sysClr val="windowText" lastClr="000000"/>
              </a:solidFill>
              <a:effectLst/>
              <a:latin typeface="Gill Sans MT" pitchFamily="34" charset="0"/>
              <a:ea typeface="+mn-ea"/>
              <a:cs typeface="+mn-cs"/>
            </a:rPr>
            <a:t>Remember, no computer can tell whether your projections are truly well-constructed, only a human can do that.</a:t>
          </a:r>
          <a:r>
            <a:rPr lang="en-US" sz="900" b="0">
              <a:solidFill>
                <a:sysClr val="windowText" lastClr="000000"/>
              </a:solidFill>
              <a:latin typeface="Gill Sans MT" pitchFamily="34" charset="0"/>
            </a:rPr>
            <a:t> </a:t>
          </a:r>
          <a:r>
            <a:rPr lang="en-US" sz="900" b="0" i="0" u="none" strike="noStrike">
              <a:solidFill>
                <a:sysClr val="windowText" lastClr="000000"/>
              </a:solidFill>
              <a:effectLst/>
              <a:latin typeface="Gill Sans MT" pitchFamily="34" charset="0"/>
              <a:ea typeface="+mn-ea"/>
              <a:cs typeface="+mn-cs"/>
            </a:rPr>
            <a:t>But these tests can at least look for values that are critically out of range.</a:t>
          </a:r>
          <a:r>
            <a:rPr lang="en-US" sz="900" b="0">
              <a:solidFill>
                <a:sysClr val="windowText" lastClr="000000"/>
              </a:solidFill>
              <a:latin typeface="Gill Sans MT" pitchFamily="34" charset="0"/>
            </a:rPr>
            <a:t> </a:t>
          </a:r>
        </a:p>
      </xdr:txBody>
    </xdr:sp>
    <xdr:clientData fPrintsWithSheet="0"/>
  </xdr:oneCellAnchor>
</xdr:wsDr>
</file>

<file path=xl/theme/theme1.xml><?xml version="1.0" encoding="utf-8"?>
<a:theme xmlns:a="http://schemas.openxmlformats.org/drawingml/2006/main" name="Office Theme">
  <a:themeElements>
    <a:clrScheme name="SCORE">
      <a:dk1>
        <a:sysClr val="windowText" lastClr="000000"/>
      </a:dk1>
      <a:lt1>
        <a:sysClr val="window" lastClr="FFFFFF"/>
      </a:lt1>
      <a:dk2>
        <a:srgbClr val="006EB7"/>
      </a:dk2>
      <a:lt2>
        <a:srgbClr val="30A1FF"/>
      </a:lt2>
      <a:accent1>
        <a:srgbClr val="6A9F42"/>
      </a:accent1>
      <a:accent2>
        <a:srgbClr val="FFD200"/>
      </a:accent2>
      <a:accent3>
        <a:srgbClr val="265288"/>
      </a:accent3>
      <a:accent4>
        <a:srgbClr val="423616"/>
      </a:accent4>
      <a:accent5>
        <a:srgbClr val="464648"/>
      </a:accent5>
      <a:accent6>
        <a:srgbClr val="BCD2E6"/>
      </a:accent6>
      <a:hlink>
        <a:srgbClr val="30A1FF"/>
      </a:hlink>
      <a:folHlink>
        <a:srgbClr val="265288"/>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9.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6.bin"/><Relationship Id="rId4" Type="http://schemas.openxmlformats.org/officeDocument/2006/relationships/comments" Target="../comments9.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89E53"/>
    <pageSetUpPr fitToPage="1"/>
  </sheetPr>
  <dimension ref="A6:P47"/>
  <sheetViews>
    <sheetView showGridLines="0" tabSelected="1" zoomScale="178" zoomScaleNormal="100" workbookViewId="0">
      <selection activeCell="A6" sqref="A6"/>
    </sheetView>
  </sheetViews>
  <sheetFormatPr baseColWidth="10" defaultColWidth="8.83203125" defaultRowHeight="15" x14ac:dyDescent="0.2"/>
  <cols>
    <col min="1" max="1" width="5.33203125" style="1" customWidth="1"/>
    <col min="2" max="2" width="11" style="1" customWidth="1"/>
    <col min="3" max="3" width="28" style="1" customWidth="1"/>
    <col min="4" max="4" width="21.6640625" style="1" bestFit="1" customWidth="1"/>
    <col min="5" max="5" width="17.33203125" style="1" bestFit="1" customWidth="1"/>
    <col min="6" max="6" width="15.5" style="1" bestFit="1" customWidth="1"/>
    <col min="7" max="7" width="8.83203125" style="1"/>
    <col min="8" max="8" width="9.6640625" style="1" bestFit="1" customWidth="1"/>
    <col min="9" max="11" width="8.83203125" style="1"/>
    <col min="12" max="12" width="19.1640625" style="1" customWidth="1"/>
    <col min="13" max="13" width="13.5" style="1" bestFit="1" customWidth="1"/>
    <col min="14" max="16384" width="8.83203125" style="1"/>
  </cols>
  <sheetData>
    <row r="6" spans="1:14" x14ac:dyDescent="0.2">
      <c r="A6" s="468"/>
      <c r="B6" s="25"/>
      <c r="C6" s="25"/>
      <c r="D6" s="25"/>
      <c r="E6" s="25"/>
      <c r="F6" s="25"/>
      <c r="G6" s="25"/>
      <c r="H6" s="25"/>
      <c r="I6" s="25"/>
      <c r="J6" s="25"/>
      <c r="K6" s="25"/>
      <c r="L6" s="25"/>
      <c r="M6" s="25"/>
      <c r="N6" s="25"/>
    </row>
    <row r="7" spans="1:14" x14ac:dyDescent="0.2">
      <c r="B7" s="472" t="s">
        <v>140</v>
      </c>
      <c r="C7" s="472"/>
      <c r="D7" s="472"/>
      <c r="E7" s="472"/>
      <c r="F7" s="472"/>
    </row>
    <row r="8" spans="1:14" x14ac:dyDescent="0.2">
      <c r="B8" s="3"/>
      <c r="M8" s="4"/>
    </row>
    <row r="9" spans="1:14" ht="17" thickBot="1" x14ac:dyDescent="0.25">
      <c r="B9" s="3"/>
      <c r="C9" s="342" t="s">
        <v>85</v>
      </c>
      <c r="D9" s="342" t="s">
        <v>0</v>
      </c>
      <c r="E9" s="342" t="s">
        <v>205</v>
      </c>
      <c r="F9" s="342" t="s">
        <v>204</v>
      </c>
      <c r="M9" s="4"/>
    </row>
    <row r="10" spans="1:14" ht="16" thickTop="1" x14ac:dyDescent="0.2">
      <c r="B10" s="3"/>
      <c r="C10" s="321" t="s">
        <v>362</v>
      </c>
      <c r="D10" s="321" t="s">
        <v>363</v>
      </c>
      <c r="E10" s="321" t="s">
        <v>364</v>
      </c>
      <c r="F10" s="321">
        <v>2026</v>
      </c>
      <c r="M10" s="4"/>
    </row>
    <row r="12" spans="1:14" x14ac:dyDescent="0.2">
      <c r="B12" s="472" t="s">
        <v>20</v>
      </c>
      <c r="C12" s="472"/>
      <c r="D12" s="472"/>
      <c r="E12" s="472"/>
      <c r="I12"/>
    </row>
    <row r="33" spans="1:16" x14ac:dyDescent="0.2">
      <c r="L33" s="460"/>
      <c r="M33" s="460"/>
      <c r="N33" s="460"/>
      <c r="O33" s="460"/>
      <c r="P33" s="460"/>
    </row>
    <row r="34" spans="1:16" x14ac:dyDescent="0.2">
      <c r="L34" s="460"/>
      <c r="M34" s="460"/>
      <c r="N34" s="460"/>
      <c r="O34" s="460"/>
      <c r="P34" s="460"/>
    </row>
    <row r="35" spans="1:16" x14ac:dyDescent="0.2">
      <c r="L35" s="460"/>
      <c r="M35" s="460"/>
      <c r="N35" s="460"/>
      <c r="O35" s="460"/>
      <c r="P35" s="460"/>
    </row>
    <row r="36" spans="1:16" x14ac:dyDescent="0.2">
      <c r="A36" s="437"/>
      <c r="B36" s="438"/>
      <c r="C36" s="440">
        <f>IF(ISBLANK(E10),-10000,MONTH(DATEVALUE(E10&amp;" 1")))</f>
        <v>1</v>
      </c>
      <c r="D36" s="438"/>
      <c r="E36" s="438"/>
      <c r="F36" s="438"/>
      <c r="G36" s="438"/>
      <c r="H36" s="438"/>
      <c r="I36" s="438"/>
      <c r="J36" s="438"/>
      <c r="K36" s="438"/>
      <c r="L36" s="438"/>
      <c r="M36" s="438"/>
      <c r="N36" s="460"/>
      <c r="O36" s="460"/>
      <c r="P36" s="460"/>
    </row>
    <row r="37" spans="1:16" x14ac:dyDescent="0.2">
      <c r="A37" s="437"/>
      <c r="B37" s="438"/>
      <c r="C37" s="440"/>
      <c r="D37" s="438"/>
      <c r="E37" s="438"/>
      <c r="F37" s="438"/>
      <c r="G37" s="438"/>
      <c r="H37" s="438"/>
      <c r="I37" s="438"/>
      <c r="J37" s="438"/>
      <c r="K37" s="438"/>
      <c r="L37" s="438"/>
      <c r="M37" s="438"/>
      <c r="N37" s="460"/>
      <c r="O37" s="460"/>
      <c r="P37" s="460"/>
    </row>
    <row r="38" spans="1:16" x14ac:dyDescent="0.2">
      <c r="A38" s="437"/>
      <c r="B38" s="438" t="str">
        <f>IF(Directions!$C$36&gt;0,CHOOSE(Directions!$C$36,"January","February","March","April","May","June","July","August","September","October","November","December"),"Month 1")</f>
        <v>January</v>
      </c>
      <c r="C38" s="440" t="str">
        <f>IF(Directions!$C$36+1&gt;12,CHOOSE(Directions!$C$36+1-12,"January","February","March","April","May","June","July","August","September","October","November","December"),IF(Directions!$C$36&lt;0,"Month 2",(CHOOSE(Directions!$C$36+1,"January","February","March","April","May","June","July","August","September","October","November","December"))))</f>
        <v>February</v>
      </c>
      <c r="D38" s="440" t="str">
        <f>IF(Directions!$C$36+2&gt;12,CHOOSE(Directions!$C$36+2-12,"January","February","March","April","May","June","July","August","September","October","November","December"),IF(Directions!$C$36&lt;0,"Month 3",CHOOSE(Directions!$C$36+2,"January","February","March","April","May","June","July","August","September","October","November","December")))</f>
        <v>March</v>
      </c>
      <c r="E38" s="440" t="str">
        <f>IF(Directions!$C$36+3&gt;12,CHOOSE(Directions!$C$36+3-12,"January","February","March","April","May","June","July","August","September","October","November","December"),IF(Directions!$C$36&lt;0,"Month 4",CHOOSE(Directions!$C$36+3,"January","February","March","April","May","June","July","August","September","October","November","December")))</f>
        <v>April</v>
      </c>
      <c r="F38" s="440" t="str">
        <f>IF(Directions!$C$36+4&gt;12,CHOOSE(Directions!$C$36+4-12,"January","February","March","April","May","June","July","August","September","October","November","December"),IF(Directions!$C$36&lt;0,"Month 5",CHOOSE(Directions!$C$36+4,"January","February","March","April","May","June","July","August","September","October","November","December")))</f>
        <v>May</v>
      </c>
      <c r="G38" s="440" t="str">
        <f>IF(Directions!$C$36+5&gt;12,CHOOSE(Directions!$C$36+5-12,"January","February","March","April","May","June","July","August","September","October","November","December"),IF(Directions!$C$36&lt;0,"Month 6",CHOOSE(Directions!$C$36+5,"January","February","March","April","May","June","July","August","September","October","November","December")))</f>
        <v>June</v>
      </c>
      <c r="H38" s="440" t="str">
        <f>IF(Directions!$C$36+6&gt;12,CHOOSE(Directions!$C$36+6-12,"January","February","March","April","May","June","July","August","September","October","November","December"),IF(Directions!$C$36&lt;0,"Month 7",CHOOSE(Directions!$C$36+6,"January","February","March","April","May","June","July","August","September","October","November","December")))</f>
        <v>July</v>
      </c>
      <c r="I38" s="440" t="str">
        <f>IF(Directions!$C$36+7&gt;12,CHOOSE(Directions!$C$36+7-12,"January","February","March","April","May","June","July","August","September","October","November","December"),IF(Directions!$C$36&lt;0,"Month 8",CHOOSE(Directions!$C$36+7,"January","February","March","April","May","June","July","August","September","October","November","December")))</f>
        <v>August</v>
      </c>
      <c r="J38" s="440" t="str">
        <f>IF(Directions!$C$36+8&gt;12,CHOOSE(Directions!$C$36+8-12,"January","February","March","April","May","June","July","August","September","October","November","December"),IF(Directions!$C$36&lt;0,"Month 9",CHOOSE(Directions!$C$36+8,"January","February","March","April","May","June","July","August","September","October","November","December")))</f>
        <v>September</v>
      </c>
      <c r="K38" s="440" t="str">
        <f>IF(Directions!$C$36+9&gt;12,CHOOSE(Directions!$C$36+9-12,"January","February","March","April","May","June","July","August","September","October","November","December"),IF(Directions!$C$36&lt;0,"Month 10",CHOOSE(Directions!$C$36+9,"January","February","March","April","May","June","July","August","September","October","November","December")))</f>
        <v>October</v>
      </c>
      <c r="L38" s="440" t="str">
        <f>IF(Directions!$C$36+10&gt;12,CHOOSE(Directions!$C$36+10-12,"January","February","March","April","May","June","July","August","September","October","November","December"),IF(Directions!$C$36&lt;0,"Month 11",CHOOSE(Directions!$C$36+10,"January","February","March","April","May","June","July","August","September","October","November","December")))</f>
        <v>November</v>
      </c>
      <c r="M38" s="440" t="str">
        <f>IF(Directions!$C$36+11&gt;12,CHOOSE(Directions!$C$36+11-12,"January","February","March","April","May","June","July","August","September","October","November","December"),IF(Directions!$C$36&lt;0,"Month 12",CHOOSE(Directions!$C$36+11,"January","February","March","April","May","June","July","August","September","October","November","December")))</f>
        <v>December</v>
      </c>
      <c r="N38" s="460"/>
      <c r="O38" s="460"/>
      <c r="P38" s="460"/>
    </row>
    <row r="39" spans="1:16" x14ac:dyDescent="0.2">
      <c r="A39" s="437"/>
      <c r="B39" s="437"/>
      <c r="C39" s="440"/>
      <c r="D39" s="437"/>
      <c r="E39" s="437"/>
      <c r="F39" s="437"/>
      <c r="G39" s="437"/>
      <c r="H39" s="437"/>
      <c r="I39" s="437"/>
      <c r="J39" s="437"/>
      <c r="K39" s="437"/>
      <c r="L39" s="437"/>
      <c r="M39" s="437"/>
      <c r="N39" s="460"/>
      <c r="O39" s="460"/>
      <c r="P39" s="460"/>
    </row>
    <row r="40" spans="1:16" x14ac:dyDescent="0.2">
      <c r="A40" s="437"/>
      <c r="B40" s="437"/>
      <c r="C40" s="437"/>
      <c r="D40" s="437"/>
      <c r="E40" s="437"/>
      <c r="F40" s="437"/>
      <c r="G40" s="437"/>
      <c r="H40" s="437"/>
      <c r="I40" s="437"/>
      <c r="J40" s="437"/>
      <c r="K40" s="437"/>
      <c r="L40" s="437"/>
      <c r="M40" s="437"/>
      <c r="N40" s="460"/>
      <c r="O40" s="460"/>
      <c r="P40" s="460"/>
    </row>
    <row r="41" spans="1:16" x14ac:dyDescent="0.2">
      <c r="B41" s="460"/>
      <c r="C41" s="460"/>
      <c r="D41" s="460"/>
      <c r="E41" s="460"/>
      <c r="F41" s="460"/>
      <c r="G41" s="460"/>
      <c r="H41" s="460"/>
      <c r="I41" s="460"/>
      <c r="J41" s="460"/>
      <c r="K41" s="460"/>
      <c r="L41" s="460"/>
      <c r="M41" s="460"/>
      <c r="N41" s="460"/>
      <c r="O41" s="460"/>
      <c r="P41" s="460"/>
    </row>
    <row r="42" spans="1:16" x14ac:dyDescent="0.2">
      <c r="L42" s="460"/>
      <c r="M42" s="460"/>
      <c r="N42" s="460"/>
      <c r="O42" s="460"/>
      <c r="P42" s="460"/>
    </row>
    <row r="44" spans="1:16" x14ac:dyDescent="0.2">
      <c r="E44" s="2"/>
    </row>
    <row r="45" spans="1:16" x14ac:dyDescent="0.2">
      <c r="B45" s="472"/>
      <c r="C45" s="472"/>
      <c r="D45" s="472"/>
    </row>
    <row r="47" spans="1:16" x14ac:dyDescent="0.2">
      <c r="B47" s="2"/>
      <c r="C47" s="2"/>
      <c r="D47" s="2"/>
    </row>
  </sheetData>
  <sheetProtection formatColumns="0" formatRows="0"/>
  <mergeCells count="3">
    <mergeCell ref="B12:E12"/>
    <mergeCell ref="B45:D45"/>
    <mergeCell ref="B7:F7"/>
  </mergeCells>
  <phoneticPr fontId="3" type="noConversion"/>
  <conditionalFormatting sqref="C10:F10">
    <cfRule type="containsBlanks" dxfId="75" priority="7">
      <formula>LEN(TRIM(C10))=0</formula>
    </cfRule>
  </conditionalFormatting>
  <printOptions horizontalCentered="1"/>
  <pageMargins left="0.25" right="0.25" top="0.75" bottom="0.75" header="0.3" footer="0.3"/>
  <pageSetup scale="69" orientation="landscape" r:id="rId1"/>
  <headerFooter scaleWithDoc="0">
    <oddHeader>&amp;L&amp;9&amp;G&amp;R&amp;G</oddHeader>
  </headerFooter>
  <drawing r:id="rId2"/>
  <legacyDrawingHF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rgb="FFFFC95B"/>
    <pageSetUpPr fitToPage="1"/>
  </sheetPr>
  <dimension ref="B2:L53"/>
  <sheetViews>
    <sheetView zoomScale="259" zoomScaleNormal="100" zoomScalePageLayoutView="60" workbookViewId="0">
      <selection activeCell="C31" sqref="C31"/>
    </sheetView>
  </sheetViews>
  <sheetFormatPr baseColWidth="10" defaultColWidth="8.83203125" defaultRowHeight="13" x14ac:dyDescent="0.15"/>
  <cols>
    <col min="1" max="1" width="8.83203125" style="391"/>
    <col min="2" max="2" width="35" style="391" bestFit="1" customWidth="1"/>
    <col min="3" max="3" width="20.6640625" style="391" customWidth="1"/>
    <col min="4" max="4" width="21.5" style="391" bestFit="1" customWidth="1"/>
    <col min="5" max="5" width="11.1640625" style="391" bestFit="1" customWidth="1"/>
    <col min="6" max="6" width="22.33203125" style="391" customWidth="1"/>
    <col min="7" max="7" width="19.6640625" style="391" bestFit="1" customWidth="1"/>
    <col min="8" max="8" width="16.5" style="391" customWidth="1"/>
    <col min="9" max="16384" width="8.83203125" style="391"/>
  </cols>
  <sheetData>
    <row r="2" spans="2:7" x14ac:dyDescent="0.15">
      <c r="B2" s="481" t="s">
        <v>210</v>
      </c>
      <c r="C2" s="481"/>
      <c r="D2" s="481"/>
    </row>
    <row r="3" spans="2:7" x14ac:dyDescent="0.15">
      <c r="B3" s="392"/>
      <c r="C3" s="392"/>
    </row>
    <row r="4" spans="2:7" ht="18" customHeight="1" x14ac:dyDescent="0.15">
      <c r="B4" s="393" t="s">
        <v>130</v>
      </c>
      <c r="C4" s="394" t="s">
        <v>131</v>
      </c>
    </row>
    <row r="5" spans="2:7" x14ac:dyDescent="0.15">
      <c r="B5" s="395" t="str">
        <f>IF(ISBLANK(Directions!C10), "Owner", Directions!C10)</f>
        <v>Dave Johnson</v>
      </c>
      <c r="C5" s="391" t="str">
        <f>IF(ISBLANK(Directions!D10), "Company 1", Directions!D10)</f>
        <v>Dave's Famous Pretzels</v>
      </c>
    </row>
    <row r="6" spans="2:7" x14ac:dyDescent="0.15">
      <c r="D6" s="395"/>
      <c r="E6" s="395"/>
      <c r="F6" s="395"/>
      <c r="G6" s="395"/>
    </row>
    <row r="7" spans="2:7" ht="17.25" customHeight="1" thickBot="1" x14ac:dyDescent="0.2">
      <c r="B7" s="396" t="s">
        <v>33</v>
      </c>
      <c r="C7" s="396" t="s">
        <v>1</v>
      </c>
      <c r="D7" s="396" t="s">
        <v>157</v>
      </c>
      <c r="E7" s="489" t="s">
        <v>32</v>
      </c>
      <c r="F7" s="489"/>
      <c r="G7" s="397"/>
    </row>
    <row r="8" spans="2:7" ht="14" thickTop="1" x14ac:dyDescent="0.15">
      <c r="B8" s="398"/>
      <c r="C8" s="399"/>
      <c r="D8" s="399"/>
      <c r="E8" s="490"/>
      <c r="F8" s="491"/>
      <c r="G8" s="400"/>
    </row>
    <row r="9" spans="2:7" x14ac:dyDescent="0.15">
      <c r="B9" s="401" t="s">
        <v>34</v>
      </c>
      <c r="C9" s="402">
        <v>0</v>
      </c>
      <c r="D9" s="461" t="s">
        <v>351</v>
      </c>
      <c r="E9" s="492"/>
      <c r="F9" s="493"/>
      <c r="G9" s="400"/>
    </row>
    <row r="10" spans="2:7" x14ac:dyDescent="0.15">
      <c r="B10" s="401" t="s">
        <v>348</v>
      </c>
      <c r="C10" s="403">
        <v>0</v>
      </c>
      <c r="D10" s="404">
        <v>20</v>
      </c>
      <c r="E10" s="473"/>
      <c r="F10" s="474"/>
      <c r="G10" s="405"/>
    </row>
    <row r="11" spans="2:7" x14ac:dyDescent="0.15">
      <c r="B11" s="401" t="s">
        <v>35</v>
      </c>
      <c r="C11" s="403">
        <v>0</v>
      </c>
      <c r="D11" s="404">
        <v>7</v>
      </c>
      <c r="E11" s="473"/>
      <c r="F11" s="474"/>
      <c r="G11" s="405"/>
    </row>
    <row r="12" spans="2:7" x14ac:dyDescent="0.15">
      <c r="B12" s="401" t="s">
        <v>2</v>
      </c>
      <c r="C12" s="403">
        <v>63000</v>
      </c>
      <c r="D12" s="404">
        <v>7</v>
      </c>
      <c r="E12" s="473"/>
      <c r="F12" s="474"/>
      <c r="G12" s="405"/>
    </row>
    <row r="13" spans="2:7" x14ac:dyDescent="0.15">
      <c r="B13" s="401" t="s">
        <v>36</v>
      </c>
      <c r="C13" s="403">
        <v>0</v>
      </c>
      <c r="D13" s="404">
        <v>5</v>
      </c>
      <c r="E13" s="473"/>
      <c r="F13" s="474"/>
      <c r="G13" s="405"/>
    </row>
    <row r="14" spans="2:7" x14ac:dyDescent="0.15">
      <c r="B14" s="401" t="s">
        <v>3</v>
      </c>
      <c r="C14" s="403">
        <v>120000</v>
      </c>
      <c r="D14" s="404">
        <v>5</v>
      </c>
      <c r="E14" s="473"/>
      <c r="F14" s="474"/>
      <c r="G14" s="405"/>
    </row>
    <row r="15" spans="2:7" x14ac:dyDescent="0.15">
      <c r="B15" s="401" t="s">
        <v>16</v>
      </c>
      <c r="C15" s="403"/>
      <c r="D15" s="404">
        <v>5</v>
      </c>
      <c r="E15" s="473"/>
      <c r="F15" s="474"/>
      <c r="G15" s="405"/>
    </row>
    <row r="16" spans="2:7" x14ac:dyDescent="0.15">
      <c r="B16" s="406" t="s">
        <v>38</v>
      </c>
      <c r="C16" s="407">
        <f>SUM(C9:C15)</f>
        <v>183000</v>
      </c>
      <c r="D16" s="408"/>
      <c r="E16" s="497"/>
      <c r="F16" s="474"/>
      <c r="G16" s="405"/>
    </row>
    <row r="17" spans="2:7" x14ac:dyDescent="0.15">
      <c r="B17" s="498"/>
      <c r="C17" s="499"/>
      <c r="D17" s="499"/>
      <c r="E17" s="499"/>
      <c r="F17" s="500"/>
      <c r="G17" s="409"/>
    </row>
    <row r="18" spans="2:7" ht="14" thickBot="1" x14ac:dyDescent="0.2">
      <c r="B18" s="410" t="s">
        <v>39</v>
      </c>
      <c r="C18" s="411" t="s">
        <v>1</v>
      </c>
      <c r="D18" s="494" t="s">
        <v>32</v>
      </c>
      <c r="E18" s="495"/>
      <c r="F18" s="496"/>
    </row>
    <row r="19" spans="2:7" ht="14" thickTop="1" x14ac:dyDescent="0.15">
      <c r="B19" s="412" t="s">
        <v>40</v>
      </c>
      <c r="C19" s="413">
        <v>0</v>
      </c>
      <c r="D19" s="475"/>
      <c r="E19" s="476"/>
      <c r="F19" s="477"/>
    </row>
    <row r="20" spans="2:7" x14ac:dyDescent="0.15">
      <c r="B20" s="406" t="s">
        <v>41</v>
      </c>
      <c r="C20" s="403">
        <v>6000</v>
      </c>
      <c r="D20" s="485"/>
      <c r="E20" s="486"/>
      <c r="F20" s="487"/>
    </row>
    <row r="21" spans="2:7" x14ac:dyDescent="0.15">
      <c r="B21" s="406" t="s">
        <v>4</v>
      </c>
      <c r="C21" s="403"/>
      <c r="D21" s="485"/>
      <c r="E21" s="486"/>
      <c r="F21" s="487"/>
    </row>
    <row r="22" spans="2:7" x14ac:dyDescent="0.15">
      <c r="B22" s="406" t="s">
        <v>42</v>
      </c>
      <c r="C22" s="403"/>
      <c r="D22" s="485"/>
      <c r="E22" s="486"/>
      <c r="F22" s="487"/>
    </row>
    <row r="23" spans="2:7" x14ac:dyDescent="0.15">
      <c r="B23" s="406" t="s">
        <v>43</v>
      </c>
      <c r="C23" s="403"/>
      <c r="D23" s="485"/>
      <c r="E23" s="486"/>
      <c r="F23" s="487"/>
    </row>
    <row r="24" spans="2:7" x14ac:dyDescent="0.15">
      <c r="B24" s="406" t="s">
        <v>44</v>
      </c>
      <c r="C24" s="403"/>
      <c r="D24" s="485"/>
      <c r="E24" s="486"/>
      <c r="F24" s="487"/>
    </row>
    <row r="25" spans="2:7" x14ac:dyDescent="0.15">
      <c r="B25" s="406" t="s">
        <v>5</v>
      </c>
      <c r="C25" s="403"/>
      <c r="D25" s="485"/>
      <c r="E25" s="486"/>
      <c r="F25" s="487"/>
      <c r="G25" s="414"/>
    </row>
    <row r="26" spans="2:7" x14ac:dyDescent="0.15">
      <c r="B26" s="406" t="s">
        <v>45</v>
      </c>
      <c r="C26" s="403"/>
      <c r="D26" s="485"/>
      <c r="E26" s="486"/>
      <c r="F26" s="487"/>
    </row>
    <row r="27" spans="2:7" x14ac:dyDescent="0.15">
      <c r="B27" s="406" t="s">
        <v>6</v>
      </c>
      <c r="C27" s="403">
        <v>3000</v>
      </c>
      <c r="D27" s="485"/>
      <c r="E27" s="486"/>
      <c r="F27" s="487"/>
    </row>
    <row r="28" spans="2:7" x14ac:dyDescent="0.15">
      <c r="B28" s="406" t="s">
        <v>46</v>
      </c>
      <c r="C28" s="403"/>
      <c r="D28" s="485"/>
      <c r="E28" s="486"/>
      <c r="F28" s="487"/>
    </row>
    <row r="29" spans="2:7" x14ac:dyDescent="0.15">
      <c r="B29" s="415" t="s">
        <v>47</v>
      </c>
      <c r="C29" s="403">
        <v>5000</v>
      </c>
      <c r="D29" s="485"/>
      <c r="E29" s="486"/>
      <c r="F29" s="487"/>
    </row>
    <row r="30" spans="2:7" x14ac:dyDescent="0.15">
      <c r="B30" s="406" t="s">
        <v>48</v>
      </c>
      <c r="C30" s="416">
        <f>SUM(C19:C29)</f>
        <v>14000</v>
      </c>
      <c r="D30" s="485"/>
      <c r="E30" s="486"/>
      <c r="F30" s="487"/>
    </row>
    <row r="31" spans="2:7" ht="14" thickBot="1" x14ac:dyDescent="0.2">
      <c r="B31" s="406" t="s">
        <v>7</v>
      </c>
      <c r="C31" s="417">
        <f>C16+C30</f>
        <v>197000</v>
      </c>
      <c r="D31" s="482"/>
      <c r="E31" s="483"/>
      <c r="F31" s="484"/>
    </row>
    <row r="32" spans="2:7" x14ac:dyDescent="0.15">
      <c r="B32" s="393"/>
      <c r="C32" s="418"/>
      <c r="D32" s="395"/>
      <c r="E32" s="395"/>
      <c r="F32" s="419"/>
      <c r="G32" s="419"/>
    </row>
    <row r="33" spans="2:12" ht="15" thickBot="1" x14ac:dyDescent="0.2">
      <c r="B33" s="396" t="s">
        <v>49</v>
      </c>
      <c r="C33" s="396" t="s">
        <v>122</v>
      </c>
      <c r="D33" s="396" t="s">
        <v>8</v>
      </c>
      <c r="E33" s="396" t="s">
        <v>12</v>
      </c>
      <c r="F33" s="396" t="s">
        <v>13</v>
      </c>
      <c r="G33" s="396" t="s">
        <v>50</v>
      </c>
      <c r="H33" s="396" t="s">
        <v>32</v>
      </c>
    </row>
    <row r="34" spans="2:12" ht="14" thickTop="1" x14ac:dyDescent="0.15">
      <c r="B34" s="412" t="s">
        <v>51</v>
      </c>
      <c r="C34" s="441">
        <f>IF($C$31=0,0,D34/$C$31)</f>
        <v>0</v>
      </c>
      <c r="D34" s="413">
        <v>0</v>
      </c>
      <c r="E34" s="399"/>
      <c r="F34" s="420"/>
      <c r="G34" s="399"/>
      <c r="H34" s="421"/>
    </row>
    <row r="35" spans="2:12" x14ac:dyDescent="0.15">
      <c r="B35" s="406" t="s">
        <v>52</v>
      </c>
      <c r="C35" s="442">
        <f>IF($C$31=0,0,D35/$C$31)</f>
        <v>0</v>
      </c>
      <c r="D35" s="403">
        <v>0</v>
      </c>
      <c r="E35" s="422"/>
      <c r="F35" s="422"/>
      <c r="G35" s="422"/>
      <c r="H35" s="423"/>
    </row>
    <row r="36" spans="2:12" x14ac:dyDescent="0.15">
      <c r="B36" s="406" t="s">
        <v>53</v>
      </c>
      <c r="C36" s="442"/>
      <c r="D36" s="422"/>
      <c r="E36" s="422"/>
      <c r="F36" s="422"/>
      <c r="G36" s="422"/>
      <c r="H36" s="423"/>
    </row>
    <row r="37" spans="2:12" x14ac:dyDescent="0.15">
      <c r="B37" s="424" t="s">
        <v>54</v>
      </c>
      <c r="C37" s="442">
        <f t="shared" ref="C37:C42" si="0">IF($C$31=0,0,D37/$C$31)</f>
        <v>0.57360406091370564</v>
      </c>
      <c r="D37" s="403">
        <v>113000</v>
      </c>
      <c r="E37" s="425">
        <v>0.105</v>
      </c>
      <c r="F37" s="426">
        <v>84</v>
      </c>
      <c r="G37" s="427">
        <f>PMT(E37/12,F37,-D37)</f>
        <v>1905.2560658052059</v>
      </c>
      <c r="H37" s="423"/>
    </row>
    <row r="38" spans="2:12" x14ac:dyDescent="0.15">
      <c r="B38" s="424" t="s">
        <v>55</v>
      </c>
      <c r="C38" s="442">
        <f t="shared" si="0"/>
        <v>0</v>
      </c>
      <c r="D38" s="403">
        <v>0</v>
      </c>
      <c r="E38" s="425">
        <v>0.09</v>
      </c>
      <c r="F38" s="426">
        <v>240</v>
      </c>
      <c r="G38" s="427">
        <f>PMT(E38/12,F38,-D38)</f>
        <v>0</v>
      </c>
      <c r="H38" s="423"/>
      <c r="J38" s="480" t="s">
        <v>248</v>
      </c>
      <c r="K38" s="480"/>
      <c r="L38" s="480"/>
    </row>
    <row r="39" spans="2:12" x14ac:dyDescent="0.15">
      <c r="B39" s="424" t="s">
        <v>144</v>
      </c>
      <c r="C39" s="442">
        <f t="shared" si="0"/>
        <v>0</v>
      </c>
      <c r="D39" s="403">
        <v>0</v>
      </c>
      <c r="E39" s="425">
        <v>7.0000000000000007E-2</v>
      </c>
      <c r="F39" s="426">
        <v>60</v>
      </c>
      <c r="G39" s="427">
        <f>PMT(E39/12,F39,-D39)</f>
        <v>0</v>
      </c>
      <c r="H39" s="423"/>
      <c r="J39" s="480"/>
      <c r="K39" s="480"/>
      <c r="L39" s="480"/>
    </row>
    <row r="40" spans="2:12" x14ac:dyDescent="0.15">
      <c r="B40" s="424" t="s">
        <v>145</v>
      </c>
      <c r="C40" s="442">
        <f t="shared" si="0"/>
        <v>0.42639593908629442</v>
      </c>
      <c r="D40" s="403">
        <v>84000</v>
      </c>
      <c r="E40" s="425">
        <v>7.0000000000000007E-2</v>
      </c>
      <c r="F40" s="426">
        <v>48</v>
      </c>
      <c r="G40" s="427">
        <f>PMT(E40/12,F40,-D40)</f>
        <v>2011.4845516452042</v>
      </c>
      <c r="H40" s="423"/>
      <c r="J40" s="480"/>
      <c r="K40" s="480"/>
      <c r="L40" s="480"/>
    </row>
    <row r="41" spans="2:12" x14ac:dyDescent="0.15">
      <c r="B41" s="424" t="s">
        <v>146</v>
      </c>
      <c r="C41" s="442">
        <f t="shared" si="0"/>
        <v>0</v>
      </c>
      <c r="D41" s="403">
        <v>0</v>
      </c>
      <c r="E41" s="425">
        <v>0.05</v>
      </c>
      <c r="F41" s="426">
        <v>36</v>
      </c>
      <c r="G41" s="427">
        <f>PMT(E41/12,F41,-D41)</f>
        <v>0</v>
      </c>
      <c r="H41" s="428"/>
      <c r="J41" s="480"/>
      <c r="K41" s="480"/>
      <c r="L41" s="480"/>
    </row>
    <row r="42" spans="2:12" x14ac:dyDescent="0.15">
      <c r="B42" s="406" t="s">
        <v>56</v>
      </c>
      <c r="C42" s="443">
        <f t="shared" si="0"/>
        <v>1</v>
      </c>
      <c r="D42" s="429">
        <f>SUM(D34:D41)</f>
        <v>197000</v>
      </c>
      <c r="E42" s="478" t="s">
        <v>259</v>
      </c>
      <c r="F42" s="479"/>
      <c r="G42" s="416">
        <f>SUM(G37:G41)</f>
        <v>3916.7406174504104</v>
      </c>
      <c r="H42" s="423"/>
    </row>
    <row r="43" spans="2:12" x14ac:dyDescent="0.15">
      <c r="B43" s="406" t="s">
        <v>143</v>
      </c>
      <c r="C43" s="406"/>
      <c r="D43" s="429">
        <f>C31-D42</f>
        <v>0</v>
      </c>
      <c r="E43" s="498" t="str">
        <f>IF(D43&gt;0,"You require more funding (Not Balanced)",IF(D43&lt;0,"Your funding exceeds your needs (Not Balanced)","You are fully funded (Balanced)"))</f>
        <v>You are fully funded (Balanced)</v>
      </c>
      <c r="F43" s="499"/>
      <c r="G43" s="500"/>
      <c r="H43" s="421"/>
    </row>
    <row r="44" spans="2:12" x14ac:dyDescent="0.15">
      <c r="B44" s="430" t="s">
        <v>128</v>
      </c>
      <c r="C44" s="393"/>
      <c r="D44" s="393"/>
      <c r="E44" s="393"/>
      <c r="F44" s="393"/>
      <c r="G44" s="393"/>
    </row>
    <row r="45" spans="2:12" x14ac:dyDescent="0.15">
      <c r="B45" s="395"/>
      <c r="C45" s="393"/>
      <c r="D45" s="395"/>
      <c r="E45" s="395"/>
      <c r="F45" s="395"/>
    </row>
    <row r="46" spans="2:12" ht="14" thickBot="1" x14ac:dyDescent="0.2">
      <c r="B46" s="488" t="s">
        <v>230</v>
      </c>
      <c r="C46" s="488"/>
      <c r="D46" s="395"/>
      <c r="E46" s="395"/>
      <c r="F46" s="395"/>
      <c r="G46" s="395"/>
    </row>
    <row r="47" spans="2:12" ht="14" thickTop="1" x14ac:dyDescent="0.15">
      <c r="B47" s="399" t="s">
        <v>170</v>
      </c>
      <c r="C47" s="431">
        <v>0</v>
      </c>
      <c r="D47" s="395"/>
      <c r="E47" s="432"/>
      <c r="F47" s="395"/>
      <c r="G47" s="419"/>
    </row>
    <row r="48" spans="2:12" x14ac:dyDescent="0.15">
      <c r="B48" s="433" t="s">
        <v>253</v>
      </c>
      <c r="C48" s="427">
        <v>0</v>
      </c>
      <c r="D48" s="395"/>
      <c r="E48" s="432"/>
      <c r="F48" s="395"/>
      <c r="G48" s="419"/>
    </row>
    <row r="49" spans="2:7" x14ac:dyDescent="0.15">
      <c r="B49" s="433" t="s">
        <v>252</v>
      </c>
      <c r="C49" s="427">
        <v>0</v>
      </c>
      <c r="D49" s="395"/>
      <c r="E49" s="395"/>
      <c r="F49" s="395"/>
      <c r="G49" s="395"/>
    </row>
    <row r="50" spans="2:7" x14ac:dyDescent="0.15">
      <c r="B50" s="433" t="s">
        <v>254</v>
      </c>
      <c r="C50" s="427">
        <v>0</v>
      </c>
      <c r="D50" s="395"/>
      <c r="E50" s="395"/>
      <c r="F50" s="395"/>
      <c r="G50" s="395"/>
    </row>
    <row r="51" spans="2:7" x14ac:dyDescent="0.15">
      <c r="B51" s="433" t="s">
        <v>255</v>
      </c>
      <c r="C51" s="427">
        <v>0</v>
      </c>
    </row>
    <row r="52" spans="2:7" x14ac:dyDescent="0.15">
      <c r="B52" s="406" t="s">
        <v>231</v>
      </c>
      <c r="C52" s="429">
        <f>(C47+C48+C49-C50-C51)</f>
        <v>0</v>
      </c>
      <c r="D52" s="434"/>
    </row>
    <row r="53" spans="2:7" x14ac:dyDescent="0.15">
      <c r="D53" s="434"/>
    </row>
  </sheetData>
  <sheetProtection password="CC3D" sheet="1" objects="1" scenarios="1" formatColumns="0" formatRows="0"/>
  <mergeCells count="30">
    <mergeCell ref="B46:C46"/>
    <mergeCell ref="D27:F27"/>
    <mergeCell ref="D28:F28"/>
    <mergeCell ref="E7:F7"/>
    <mergeCell ref="E8:F8"/>
    <mergeCell ref="E9:F9"/>
    <mergeCell ref="E10:F10"/>
    <mergeCell ref="D18:F18"/>
    <mergeCell ref="E15:F15"/>
    <mergeCell ref="E16:F16"/>
    <mergeCell ref="E43:G43"/>
    <mergeCell ref="E11:F11"/>
    <mergeCell ref="E12:F12"/>
    <mergeCell ref="B17:F17"/>
    <mergeCell ref="E14:F14"/>
    <mergeCell ref="D30:F30"/>
    <mergeCell ref="E13:F13"/>
    <mergeCell ref="D19:F19"/>
    <mergeCell ref="E42:F42"/>
    <mergeCell ref="J38:L41"/>
    <mergeCell ref="B2:D2"/>
    <mergeCell ref="D31:F31"/>
    <mergeCell ref="D22:F22"/>
    <mergeCell ref="D20:F20"/>
    <mergeCell ref="D21:F21"/>
    <mergeCell ref="D26:F26"/>
    <mergeCell ref="D25:F25"/>
    <mergeCell ref="D24:F24"/>
    <mergeCell ref="D23:F23"/>
    <mergeCell ref="D29:F29"/>
  </mergeCells>
  <phoneticPr fontId="3" type="noConversion"/>
  <conditionalFormatting sqref="C9:C15 C19:C29 D34:D35 D37:D41">
    <cfRule type="containsBlanks" dxfId="74" priority="25" stopIfTrue="1">
      <formula>LEN(TRIM(C9))=0</formula>
    </cfRule>
  </conditionalFormatting>
  <conditionalFormatting sqref="D10:D15">
    <cfRule type="cellIs" dxfId="73" priority="1" operator="lessThan">
      <formula>3</formula>
    </cfRule>
  </conditionalFormatting>
  <conditionalFormatting sqref="D43">
    <cfRule type="cellIs" dxfId="72" priority="5" operator="greaterThan">
      <formula>0</formula>
    </cfRule>
  </conditionalFormatting>
  <conditionalFormatting sqref="E43:G43">
    <cfRule type="containsText" dxfId="71" priority="3" operator="containsText" text="fully">
      <formula>NOT(ISERROR(SEARCH("fully",E43)))</formula>
    </cfRule>
    <cfRule type="containsText" dxfId="70" priority="4" operator="containsText" text="require">
      <formula>NOT(ISERROR(SEARCH("require",E43)))</formula>
    </cfRule>
  </conditionalFormatting>
  <hyperlinks>
    <hyperlink ref="J38:L41" location="'Amortization&amp;Depreciation'!A1" display="See Loan Amortization &amp; Depreciation Schedule" xr:uid="{00000000-0004-0000-0100-000000000000}"/>
  </hyperlinks>
  <printOptions horizontalCentered="1" verticalCentered="1"/>
  <pageMargins left="0.7" right="0.7" top="0.75" bottom="0.75" header="0.3" footer="0.3"/>
  <pageSetup scale="59" orientation="landscape" r:id="rId1"/>
  <headerFooter scaleWithDoc="0">
    <oddHeader>&amp;C&amp;"Gill Sans MT,Regular"&amp;12Start-Up Expenses Year 1
(Starting Balance Sheet)</oddHeader>
    <oddFooter>&amp;L&amp;"Gill Sans MT,Regular"&amp;12&amp;F&amp;C&amp;"Gill Sans MT,Regular"&amp;12&amp;A&amp;R&amp;"Gill Sans MT,Regular"&amp;12&amp;D &amp;T</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tabColor rgb="FFFFC95B"/>
    <pageSetUpPr fitToPage="1"/>
  </sheetPr>
  <dimension ref="A1:R31"/>
  <sheetViews>
    <sheetView zoomScale="283" zoomScaleNormal="100" zoomScalePageLayoutView="50" workbookViewId="0">
      <selection activeCell="D10" sqref="D10"/>
    </sheetView>
  </sheetViews>
  <sheetFormatPr baseColWidth="10" defaultColWidth="9.1640625" defaultRowHeight="12" x14ac:dyDescent="0.15"/>
  <cols>
    <col min="1" max="1" width="30.33203125" style="46" bestFit="1" customWidth="1"/>
    <col min="2" max="2" width="16.1640625" style="46" bestFit="1" customWidth="1"/>
    <col min="3" max="3" width="14.33203125" style="46" customWidth="1"/>
    <col min="4" max="4" width="12.33203125" style="46" customWidth="1"/>
    <col min="5" max="5" width="16" style="46" customWidth="1"/>
    <col min="6" max="6" width="10" style="46" customWidth="1"/>
    <col min="7" max="7" width="8" style="46" bestFit="1" customWidth="1"/>
    <col min="8" max="14" width="9.6640625" style="46" customWidth="1"/>
    <col min="15" max="17" width="10.33203125" style="46" bestFit="1" customWidth="1"/>
    <col min="18" max="18" width="12.1640625" style="46" bestFit="1" customWidth="1"/>
    <col min="19" max="16384" width="9.1640625" style="46"/>
  </cols>
  <sheetData>
    <row r="1" spans="1:18" x14ac:dyDescent="0.15">
      <c r="A1" s="9"/>
      <c r="B1" s="9"/>
      <c r="C1" s="9"/>
      <c r="D1" s="9"/>
      <c r="E1" s="9"/>
      <c r="F1" s="9"/>
    </row>
    <row r="2" spans="1:18" x14ac:dyDescent="0.15">
      <c r="B2" s="55" t="s">
        <v>338</v>
      </c>
      <c r="C2" s="56"/>
      <c r="D2" s="56"/>
      <c r="E2" s="56"/>
      <c r="F2" s="56"/>
    </row>
    <row r="3" spans="1:18" x14ac:dyDescent="0.15">
      <c r="B3" s="57"/>
      <c r="C3" s="56"/>
      <c r="D3" s="56"/>
      <c r="E3" s="56"/>
      <c r="F3" s="56"/>
    </row>
    <row r="4" spans="1:18" x14ac:dyDescent="0.15">
      <c r="B4" s="55" t="s">
        <v>130</v>
      </c>
      <c r="C4" s="58" t="s">
        <v>131</v>
      </c>
      <c r="D4" s="56"/>
      <c r="E4" s="56"/>
      <c r="F4" s="56"/>
    </row>
    <row r="5" spans="1:18" x14ac:dyDescent="0.15">
      <c r="B5" s="5" t="str">
        <f>IF(ISBLANK(Directions!C10), "Owner", Directions!C10)</f>
        <v>Dave Johnson</v>
      </c>
      <c r="C5" s="46" t="str">
        <f>IF(ISBLANK(Directions!D10), "Company 1", Directions!D10)</f>
        <v>Dave's Famous Pretzels</v>
      </c>
      <c r="D5" s="56"/>
      <c r="E5" s="56"/>
      <c r="F5" s="56"/>
    </row>
    <row r="6" spans="1:18" x14ac:dyDescent="0.15">
      <c r="B6" s="9"/>
      <c r="C6" s="9"/>
      <c r="D6" s="9"/>
      <c r="E6" s="9"/>
      <c r="F6" s="9"/>
      <c r="G6" s="5"/>
      <c r="H6" s="5"/>
      <c r="I6" s="5"/>
      <c r="J6" s="5"/>
      <c r="K6" s="5"/>
      <c r="L6" s="5"/>
      <c r="M6" s="5"/>
    </row>
    <row r="7" spans="1:18" ht="40" thickBot="1" x14ac:dyDescent="0.2">
      <c r="A7" s="344" t="s">
        <v>172</v>
      </c>
      <c r="B7" s="344" t="s">
        <v>209</v>
      </c>
      <c r="C7" s="344" t="s">
        <v>341</v>
      </c>
      <c r="D7" s="344" t="s">
        <v>339</v>
      </c>
      <c r="E7" s="344" t="s">
        <v>301</v>
      </c>
      <c r="F7" s="439" t="str">
        <f>Directions!B38</f>
        <v>January</v>
      </c>
      <c r="G7" s="439" t="str">
        <f>Directions!C38</f>
        <v>February</v>
      </c>
      <c r="H7" s="439" t="str">
        <f>Directions!D38</f>
        <v>March</v>
      </c>
      <c r="I7" s="439" t="str">
        <f>Directions!E38</f>
        <v>April</v>
      </c>
      <c r="J7" s="439" t="str">
        <f>Directions!F38</f>
        <v>May</v>
      </c>
      <c r="K7" s="439" t="str">
        <f>Directions!G38</f>
        <v>June</v>
      </c>
      <c r="L7" s="439" t="str">
        <f>Directions!H38</f>
        <v>July</v>
      </c>
      <c r="M7" s="439" t="str">
        <f>Directions!I38</f>
        <v>August</v>
      </c>
      <c r="N7" s="439" t="str">
        <f>Directions!J38</f>
        <v>September</v>
      </c>
      <c r="O7" s="439" t="str">
        <f>Directions!K38</f>
        <v>October</v>
      </c>
      <c r="P7" s="439" t="str">
        <f>Directions!L38</f>
        <v>November</v>
      </c>
      <c r="Q7" s="439" t="str">
        <f>Directions!M38</f>
        <v>December</v>
      </c>
      <c r="R7" s="344" t="s">
        <v>81</v>
      </c>
    </row>
    <row r="8" spans="1:18" ht="13" thickTop="1" x14ac:dyDescent="0.15">
      <c r="A8" s="322" t="s">
        <v>121</v>
      </c>
      <c r="B8" s="449">
        <v>1</v>
      </c>
      <c r="C8" s="450">
        <v>15</v>
      </c>
      <c r="D8" s="464">
        <v>20</v>
      </c>
      <c r="E8" s="323">
        <f>(C8*D8*B8)*52/12</f>
        <v>1300</v>
      </c>
      <c r="F8" s="324">
        <f>E8</f>
        <v>1300</v>
      </c>
      <c r="G8" s="324">
        <f t="shared" ref="G8:Q8" si="0">F8</f>
        <v>1300</v>
      </c>
      <c r="H8" s="324">
        <f t="shared" si="0"/>
        <v>1300</v>
      </c>
      <c r="I8" s="324">
        <f t="shared" si="0"/>
        <v>1300</v>
      </c>
      <c r="J8" s="324">
        <f t="shared" si="0"/>
        <v>1300</v>
      </c>
      <c r="K8" s="324">
        <f t="shared" si="0"/>
        <v>1300</v>
      </c>
      <c r="L8" s="324">
        <f t="shared" si="0"/>
        <v>1300</v>
      </c>
      <c r="M8" s="324">
        <f t="shared" si="0"/>
        <v>1300</v>
      </c>
      <c r="N8" s="324">
        <f t="shared" si="0"/>
        <v>1300</v>
      </c>
      <c r="O8" s="324">
        <f t="shared" si="0"/>
        <v>1300</v>
      </c>
      <c r="P8" s="324">
        <f t="shared" si="0"/>
        <v>1300</v>
      </c>
      <c r="Q8" s="324">
        <f t="shared" si="0"/>
        <v>1300</v>
      </c>
      <c r="R8" s="325">
        <f>SUM(F8:Q8)</f>
        <v>15600</v>
      </c>
    </row>
    <row r="9" spans="1:18" x14ac:dyDescent="0.15">
      <c r="A9" s="7" t="s">
        <v>87</v>
      </c>
      <c r="B9" s="451"/>
      <c r="C9" s="452"/>
      <c r="D9" s="465"/>
      <c r="E9" s="60">
        <f>(C9*D9*B9)*52/12</f>
        <v>0</v>
      </c>
      <c r="F9" s="141">
        <f t="shared" ref="F9:Q11" si="1">E9</f>
        <v>0</v>
      </c>
      <c r="G9" s="141">
        <f t="shared" si="1"/>
        <v>0</v>
      </c>
      <c r="H9" s="141">
        <f t="shared" si="1"/>
        <v>0</v>
      </c>
      <c r="I9" s="141">
        <f t="shared" si="1"/>
        <v>0</v>
      </c>
      <c r="J9" s="141">
        <f t="shared" si="1"/>
        <v>0</v>
      </c>
      <c r="K9" s="141">
        <f t="shared" si="1"/>
        <v>0</v>
      </c>
      <c r="L9" s="141">
        <f t="shared" si="1"/>
        <v>0</v>
      </c>
      <c r="M9" s="141">
        <f t="shared" si="1"/>
        <v>0</v>
      </c>
      <c r="N9" s="141">
        <f t="shared" si="1"/>
        <v>0</v>
      </c>
      <c r="O9" s="141">
        <f t="shared" si="1"/>
        <v>0</v>
      </c>
      <c r="P9" s="141">
        <f t="shared" si="1"/>
        <v>0</v>
      </c>
      <c r="Q9" s="141">
        <f t="shared" si="1"/>
        <v>0</v>
      </c>
      <c r="R9" s="61">
        <f>SUM(F9:Q9)</f>
        <v>0</v>
      </c>
    </row>
    <row r="10" spans="1:18" x14ac:dyDescent="0.15">
      <c r="A10" s="7" t="s">
        <v>88</v>
      </c>
      <c r="B10" s="451">
        <v>1</v>
      </c>
      <c r="C10" s="452">
        <v>12.5</v>
      </c>
      <c r="D10" s="465">
        <v>10</v>
      </c>
      <c r="E10" s="60">
        <f>(C10*D10*B10)*52/12</f>
        <v>541.66666666666663</v>
      </c>
      <c r="F10" s="141">
        <f t="shared" si="1"/>
        <v>541.66666666666663</v>
      </c>
      <c r="G10" s="141">
        <f t="shared" si="1"/>
        <v>541.66666666666663</v>
      </c>
      <c r="H10" s="141">
        <f t="shared" si="1"/>
        <v>541.66666666666663</v>
      </c>
      <c r="I10" s="141">
        <f t="shared" si="1"/>
        <v>541.66666666666663</v>
      </c>
      <c r="J10" s="141">
        <f t="shared" si="1"/>
        <v>541.66666666666663</v>
      </c>
      <c r="K10" s="141">
        <f t="shared" si="1"/>
        <v>541.66666666666663</v>
      </c>
      <c r="L10" s="141">
        <f t="shared" si="1"/>
        <v>541.66666666666663</v>
      </c>
      <c r="M10" s="141">
        <f t="shared" si="1"/>
        <v>541.66666666666663</v>
      </c>
      <c r="N10" s="141">
        <f t="shared" si="1"/>
        <v>541.66666666666663</v>
      </c>
      <c r="O10" s="141">
        <f t="shared" si="1"/>
        <v>541.66666666666663</v>
      </c>
      <c r="P10" s="141">
        <f t="shared" si="1"/>
        <v>541.66666666666663</v>
      </c>
      <c r="Q10" s="141">
        <f t="shared" si="1"/>
        <v>541.66666666666663</v>
      </c>
      <c r="R10" s="61">
        <f>SUM(F10:Q10)</f>
        <v>6500.0000000000009</v>
      </c>
    </row>
    <row r="11" spans="1:18" x14ac:dyDescent="0.15">
      <c r="A11" s="7" t="s">
        <v>89</v>
      </c>
      <c r="B11" s="451"/>
      <c r="C11" s="452"/>
      <c r="D11" s="465"/>
      <c r="E11" s="60">
        <f>(C11*D11*B11)*52/12</f>
        <v>0</v>
      </c>
      <c r="F11" s="141">
        <f t="shared" si="1"/>
        <v>0</v>
      </c>
      <c r="G11" s="141">
        <f t="shared" si="1"/>
        <v>0</v>
      </c>
      <c r="H11" s="141">
        <f t="shared" si="1"/>
        <v>0</v>
      </c>
      <c r="I11" s="141">
        <f t="shared" si="1"/>
        <v>0</v>
      </c>
      <c r="J11" s="141">
        <f t="shared" si="1"/>
        <v>0</v>
      </c>
      <c r="K11" s="141">
        <f t="shared" si="1"/>
        <v>0</v>
      </c>
      <c r="L11" s="141">
        <f t="shared" si="1"/>
        <v>0</v>
      </c>
      <c r="M11" s="141">
        <f t="shared" si="1"/>
        <v>0</v>
      </c>
      <c r="N11" s="141">
        <f t="shared" si="1"/>
        <v>0</v>
      </c>
      <c r="O11" s="141">
        <f t="shared" si="1"/>
        <v>0</v>
      </c>
      <c r="P11" s="141">
        <f t="shared" si="1"/>
        <v>0</v>
      </c>
      <c r="Q11" s="141">
        <f t="shared" si="1"/>
        <v>0</v>
      </c>
      <c r="R11" s="61">
        <f>SUM(F11:Q11)</f>
        <v>0</v>
      </c>
    </row>
    <row r="12" spans="1:18" x14ac:dyDescent="0.15">
      <c r="A12" s="26" t="s">
        <v>90</v>
      </c>
      <c r="B12" s="62">
        <f>SUM(B8:B11)</f>
        <v>2</v>
      </c>
      <c r="C12" s="462">
        <f t="shared" ref="C12:R12" si="2">SUM(C8:C11)</f>
        <v>27.5</v>
      </c>
      <c r="D12" s="463">
        <f>SUM(D8:D11)</f>
        <v>30</v>
      </c>
      <c r="E12" s="60">
        <f t="shared" si="2"/>
        <v>1841.6666666666665</v>
      </c>
      <c r="F12" s="61">
        <f t="shared" si="2"/>
        <v>1841.6666666666665</v>
      </c>
      <c r="G12" s="61">
        <f t="shared" si="2"/>
        <v>1841.6666666666665</v>
      </c>
      <c r="H12" s="61">
        <f t="shared" si="2"/>
        <v>1841.6666666666665</v>
      </c>
      <c r="I12" s="61">
        <f t="shared" si="2"/>
        <v>1841.6666666666665</v>
      </c>
      <c r="J12" s="61">
        <f t="shared" si="2"/>
        <v>1841.6666666666665</v>
      </c>
      <c r="K12" s="61">
        <f t="shared" si="2"/>
        <v>1841.6666666666665</v>
      </c>
      <c r="L12" s="61">
        <f t="shared" si="2"/>
        <v>1841.6666666666665</v>
      </c>
      <c r="M12" s="61">
        <f t="shared" si="2"/>
        <v>1841.6666666666665</v>
      </c>
      <c r="N12" s="61">
        <f t="shared" si="2"/>
        <v>1841.6666666666665</v>
      </c>
      <c r="O12" s="61">
        <f t="shared" si="2"/>
        <v>1841.6666666666665</v>
      </c>
      <c r="P12" s="61">
        <f t="shared" si="2"/>
        <v>1841.6666666666665</v>
      </c>
      <c r="Q12" s="61">
        <f t="shared" si="2"/>
        <v>1841.6666666666665</v>
      </c>
      <c r="R12" s="61">
        <f t="shared" si="2"/>
        <v>22100</v>
      </c>
    </row>
    <row r="13" spans="1:18" x14ac:dyDescent="0.15">
      <c r="A13" s="63"/>
      <c r="B13" s="63"/>
      <c r="C13" s="64"/>
      <c r="D13" s="65"/>
      <c r="E13" s="65"/>
      <c r="F13" s="65"/>
      <c r="G13" s="65"/>
      <c r="H13" s="65"/>
      <c r="I13" s="66"/>
      <c r="J13" s="66"/>
      <c r="K13" s="66"/>
      <c r="L13" s="66"/>
      <c r="M13" s="66"/>
      <c r="N13" s="66"/>
      <c r="O13" s="66"/>
      <c r="P13" s="66"/>
      <c r="Q13" s="66"/>
      <c r="R13" s="67"/>
    </row>
    <row r="14" spans="1:18" ht="40" thickBot="1" x14ac:dyDescent="0.2">
      <c r="A14" s="344" t="s">
        <v>91</v>
      </c>
      <c r="B14" s="344" t="s">
        <v>261</v>
      </c>
      <c r="C14" s="344" t="s">
        <v>123</v>
      </c>
      <c r="D14" s="344"/>
      <c r="E14" s="344" t="s">
        <v>302</v>
      </c>
      <c r="F14" s="520" t="str">
        <f>'3a-SalesForecastYear1'!C16</f>
        <v>January</v>
      </c>
      <c r="G14" s="520" t="str">
        <f>'3a-SalesForecastYear1'!D16</f>
        <v>February</v>
      </c>
      <c r="H14" s="520" t="str">
        <f>'3a-SalesForecastYear1'!E16</f>
        <v>March</v>
      </c>
      <c r="I14" s="520" t="str">
        <f>'3a-SalesForecastYear1'!F16</f>
        <v>April</v>
      </c>
      <c r="J14" s="520" t="str">
        <f>'3a-SalesForecastYear1'!G16</f>
        <v>May</v>
      </c>
      <c r="K14" s="520" t="str">
        <f>'3a-SalesForecastYear1'!H16</f>
        <v>June</v>
      </c>
      <c r="L14" s="520" t="str">
        <f>'3a-SalesForecastYear1'!I16</f>
        <v>July</v>
      </c>
      <c r="M14" s="520" t="str">
        <f>'3a-SalesForecastYear1'!J16</f>
        <v>August</v>
      </c>
      <c r="N14" s="520" t="str">
        <f>'3a-SalesForecastYear1'!K16</f>
        <v>September</v>
      </c>
      <c r="O14" s="520" t="str">
        <f>'3a-SalesForecastYear1'!L16</f>
        <v>October</v>
      </c>
      <c r="P14" s="520" t="str">
        <f>'3a-SalesForecastYear1'!M16</f>
        <v>November</v>
      </c>
      <c r="Q14" s="520" t="str">
        <f>'3a-SalesForecastYear1'!N16</f>
        <v>December</v>
      </c>
      <c r="R14" s="344" t="str">
        <f>'3a-SalesForecastYear1'!O16</f>
        <v>Annual Totals</v>
      </c>
    </row>
    <row r="15" spans="1:18" ht="13" thickTop="1" x14ac:dyDescent="0.15">
      <c r="A15" s="322" t="s">
        <v>92</v>
      </c>
      <c r="B15" s="323">
        <v>137700</v>
      </c>
      <c r="C15" s="326">
        <v>6.2E-2</v>
      </c>
      <c r="D15" s="327"/>
      <c r="E15" s="328">
        <f>(E$8+E$9+E$10)*$C$15</f>
        <v>114.18333333333332</v>
      </c>
      <c r="F15" s="324">
        <f t="shared" ref="F15:Q15" si="3">(F$8+F$9+F$10)*$C$15</f>
        <v>114.18333333333332</v>
      </c>
      <c r="G15" s="324">
        <f t="shared" si="3"/>
        <v>114.18333333333332</v>
      </c>
      <c r="H15" s="324">
        <f t="shared" si="3"/>
        <v>114.18333333333332</v>
      </c>
      <c r="I15" s="324">
        <f t="shared" si="3"/>
        <v>114.18333333333332</v>
      </c>
      <c r="J15" s="324">
        <f t="shared" si="3"/>
        <v>114.18333333333332</v>
      </c>
      <c r="K15" s="324">
        <f t="shared" si="3"/>
        <v>114.18333333333332</v>
      </c>
      <c r="L15" s="324">
        <f t="shared" si="3"/>
        <v>114.18333333333332</v>
      </c>
      <c r="M15" s="324">
        <f t="shared" si="3"/>
        <v>114.18333333333332</v>
      </c>
      <c r="N15" s="324">
        <f t="shared" si="3"/>
        <v>114.18333333333332</v>
      </c>
      <c r="O15" s="324">
        <f t="shared" si="3"/>
        <v>114.18333333333332</v>
      </c>
      <c r="P15" s="324">
        <f t="shared" si="3"/>
        <v>114.18333333333332</v>
      </c>
      <c r="Q15" s="324">
        <f t="shared" si="3"/>
        <v>114.18333333333332</v>
      </c>
      <c r="R15" s="325">
        <f>SUM(F15:Q15)</f>
        <v>1370.2</v>
      </c>
    </row>
    <row r="16" spans="1:18" x14ac:dyDescent="0.15">
      <c r="A16" s="7" t="s">
        <v>93</v>
      </c>
      <c r="B16" s="143" t="s">
        <v>262</v>
      </c>
      <c r="C16" s="142">
        <v>1.4500000000000001E-2</v>
      </c>
      <c r="D16" s="69"/>
      <c r="E16" s="70">
        <f>(E$8+E$9+E$10)*$C$16</f>
        <v>26.704166666666666</v>
      </c>
      <c r="F16" s="141">
        <f>(F$8+F$9+F$10)*$C$16</f>
        <v>26.704166666666666</v>
      </c>
      <c r="G16" s="141">
        <f t="shared" ref="G16:Q16" si="4">(G$8+G$9+G$10)*$C$16</f>
        <v>26.704166666666666</v>
      </c>
      <c r="H16" s="141">
        <f t="shared" si="4"/>
        <v>26.704166666666666</v>
      </c>
      <c r="I16" s="141">
        <f t="shared" si="4"/>
        <v>26.704166666666666</v>
      </c>
      <c r="J16" s="141">
        <f t="shared" si="4"/>
        <v>26.704166666666666</v>
      </c>
      <c r="K16" s="141">
        <f t="shared" si="4"/>
        <v>26.704166666666666</v>
      </c>
      <c r="L16" s="141">
        <f t="shared" si="4"/>
        <v>26.704166666666666</v>
      </c>
      <c r="M16" s="141">
        <f t="shared" si="4"/>
        <v>26.704166666666666</v>
      </c>
      <c r="N16" s="141">
        <f t="shared" si="4"/>
        <v>26.704166666666666</v>
      </c>
      <c r="O16" s="141">
        <f t="shared" si="4"/>
        <v>26.704166666666666</v>
      </c>
      <c r="P16" s="141">
        <f t="shared" si="4"/>
        <v>26.704166666666666</v>
      </c>
      <c r="Q16" s="141">
        <f t="shared" si="4"/>
        <v>26.704166666666666</v>
      </c>
      <c r="R16" s="61">
        <f t="shared" ref="R16:R22" si="5">SUM(F16:Q16)</f>
        <v>320.44999999999987</v>
      </c>
    </row>
    <row r="17" spans="1:18" x14ac:dyDescent="0.15">
      <c r="A17" s="7" t="s">
        <v>94</v>
      </c>
      <c r="B17" s="144">
        <v>7000</v>
      </c>
      <c r="C17" s="142">
        <v>6.0000000000000001E-3</v>
      </c>
      <c r="D17" s="69"/>
      <c r="E17" s="70">
        <f>+$B$12*B17*C17/12</f>
        <v>7</v>
      </c>
      <c r="F17" s="141">
        <f t="shared" ref="F17:F22" si="6">E17</f>
        <v>7</v>
      </c>
      <c r="G17" s="141">
        <f t="shared" ref="G17:Q17" si="7">F17</f>
        <v>7</v>
      </c>
      <c r="H17" s="141">
        <f t="shared" si="7"/>
        <v>7</v>
      </c>
      <c r="I17" s="141">
        <f t="shared" si="7"/>
        <v>7</v>
      </c>
      <c r="J17" s="141">
        <f t="shared" si="7"/>
        <v>7</v>
      </c>
      <c r="K17" s="141">
        <f t="shared" si="7"/>
        <v>7</v>
      </c>
      <c r="L17" s="141">
        <f t="shared" si="7"/>
        <v>7</v>
      </c>
      <c r="M17" s="141">
        <f t="shared" si="7"/>
        <v>7</v>
      </c>
      <c r="N17" s="141">
        <f t="shared" si="7"/>
        <v>7</v>
      </c>
      <c r="O17" s="141">
        <f t="shared" si="7"/>
        <v>7</v>
      </c>
      <c r="P17" s="141">
        <f t="shared" si="7"/>
        <v>7</v>
      </c>
      <c r="Q17" s="141">
        <f t="shared" si="7"/>
        <v>7</v>
      </c>
      <c r="R17" s="61">
        <f t="shared" si="5"/>
        <v>84</v>
      </c>
    </row>
    <row r="18" spans="1:18" x14ac:dyDescent="0.15">
      <c r="A18" s="7" t="s">
        <v>95</v>
      </c>
      <c r="B18" s="144">
        <v>7000</v>
      </c>
      <c r="C18" s="142">
        <v>2.7E-2</v>
      </c>
      <c r="D18" s="69"/>
      <c r="E18" s="70">
        <f>+$B$12*B18*C18/12</f>
        <v>31.5</v>
      </c>
      <c r="F18" s="141">
        <f t="shared" si="6"/>
        <v>31.5</v>
      </c>
      <c r="G18" s="141">
        <f t="shared" ref="G18:Q18" si="8">F18</f>
        <v>31.5</v>
      </c>
      <c r="H18" s="141">
        <f t="shared" si="8"/>
        <v>31.5</v>
      </c>
      <c r="I18" s="141">
        <f t="shared" si="8"/>
        <v>31.5</v>
      </c>
      <c r="J18" s="141">
        <f t="shared" si="8"/>
        <v>31.5</v>
      </c>
      <c r="K18" s="141">
        <f t="shared" si="8"/>
        <v>31.5</v>
      </c>
      <c r="L18" s="141">
        <f t="shared" si="8"/>
        <v>31.5</v>
      </c>
      <c r="M18" s="141">
        <f t="shared" si="8"/>
        <v>31.5</v>
      </c>
      <c r="N18" s="141">
        <f t="shared" si="8"/>
        <v>31.5</v>
      </c>
      <c r="O18" s="141">
        <f t="shared" si="8"/>
        <v>31.5</v>
      </c>
      <c r="P18" s="141">
        <f t="shared" si="8"/>
        <v>31.5</v>
      </c>
      <c r="Q18" s="141">
        <f t="shared" si="8"/>
        <v>31.5</v>
      </c>
      <c r="R18" s="61">
        <f t="shared" si="5"/>
        <v>378</v>
      </c>
    </row>
    <row r="19" spans="1:18" x14ac:dyDescent="0.15">
      <c r="A19" s="7" t="s">
        <v>96</v>
      </c>
      <c r="B19" s="143" t="s">
        <v>262</v>
      </c>
      <c r="C19" s="142">
        <v>0</v>
      </c>
      <c r="D19" s="69"/>
      <c r="E19" s="70">
        <f>($E$8+$E$9+$E$10)*C19</f>
        <v>0</v>
      </c>
      <c r="F19" s="141">
        <f t="shared" si="6"/>
        <v>0</v>
      </c>
      <c r="G19" s="141">
        <f t="shared" ref="G19:Q19" si="9">F19</f>
        <v>0</v>
      </c>
      <c r="H19" s="141">
        <f t="shared" si="9"/>
        <v>0</v>
      </c>
      <c r="I19" s="141">
        <f t="shared" si="9"/>
        <v>0</v>
      </c>
      <c r="J19" s="141">
        <f t="shared" si="9"/>
        <v>0</v>
      </c>
      <c r="K19" s="141">
        <f t="shared" si="9"/>
        <v>0</v>
      </c>
      <c r="L19" s="141">
        <f t="shared" si="9"/>
        <v>0</v>
      </c>
      <c r="M19" s="141">
        <f t="shared" si="9"/>
        <v>0</v>
      </c>
      <c r="N19" s="141">
        <f t="shared" si="9"/>
        <v>0</v>
      </c>
      <c r="O19" s="141">
        <f t="shared" si="9"/>
        <v>0</v>
      </c>
      <c r="P19" s="141">
        <f t="shared" si="9"/>
        <v>0</v>
      </c>
      <c r="Q19" s="141">
        <f t="shared" si="9"/>
        <v>0</v>
      </c>
      <c r="R19" s="61">
        <f t="shared" si="5"/>
        <v>0</v>
      </c>
    </row>
    <row r="20" spans="1:18" x14ac:dyDescent="0.15">
      <c r="A20" s="7" t="s">
        <v>97</v>
      </c>
      <c r="B20" s="143" t="s">
        <v>262</v>
      </c>
      <c r="C20" s="142">
        <v>0</v>
      </c>
      <c r="D20" s="71"/>
      <c r="E20" s="70">
        <f>($E$8+$E$9+$E$10)*C20</f>
        <v>0</v>
      </c>
      <c r="F20" s="141">
        <f t="shared" si="6"/>
        <v>0</v>
      </c>
      <c r="G20" s="141">
        <f t="shared" ref="G20:Q20" si="10">F20</f>
        <v>0</v>
      </c>
      <c r="H20" s="141">
        <f t="shared" si="10"/>
        <v>0</v>
      </c>
      <c r="I20" s="141">
        <f t="shared" si="10"/>
        <v>0</v>
      </c>
      <c r="J20" s="141">
        <f t="shared" si="10"/>
        <v>0</v>
      </c>
      <c r="K20" s="141">
        <f t="shared" si="10"/>
        <v>0</v>
      </c>
      <c r="L20" s="141">
        <f t="shared" si="10"/>
        <v>0</v>
      </c>
      <c r="M20" s="141">
        <f t="shared" si="10"/>
        <v>0</v>
      </c>
      <c r="N20" s="141">
        <f t="shared" si="10"/>
        <v>0</v>
      </c>
      <c r="O20" s="141">
        <f t="shared" si="10"/>
        <v>0</v>
      </c>
      <c r="P20" s="141">
        <f t="shared" si="10"/>
        <v>0</v>
      </c>
      <c r="Q20" s="141">
        <f t="shared" si="10"/>
        <v>0</v>
      </c>
      <c r="R20" s="61">
        <f t="shared" si="5"/>
        <v>0</v>
      </c>
    </row>
    <row r="21" spans="1:18" x14ac:dyDescent="0.15">
      <c r="A21" s="7" t="s">
        <v>98</v>
      </c>
      <c r="B21" s="143" t="s">
        <v>262</v>
      </c>
      <c r="C21" s="142">
        <v>0</v>
      </c>
      <c r="D21" s="71"/>
      <c r="E21" s="70">
        <f>($E$8+$E$9+$E$10)*C21</f>
        <v>0</v>
      </c>
      <c r="F21" s="141">
        <f t="shared" si="6"/>
        <v>0</v>
      </c>
      <c r="G21" s="141">
        <f t="shared" ref="G21:Q21" si="11">F21</f>
        <v>0</v>
      </c>
      <c r="H21" s="141">
        <f t="shared" si="11"/>
        <v>0</v>
      </c>
      <c r="I21" s="141">
        <f t="shared" si="11"/>
        <v>0</v>
      </c>
      <c r="J21" s="141">
        <f t="shared" si="11"/>
        <v>0</v>
      </c>
      <c r="K21" s="141">
        <f t="shared" si="11"/>
        <v>0</v>
      </c>
      <c r="L21" s="141">
        <f t="shared" si="11"/>
        <v>0</v>
      </c>
      <c r="M21" s="141">
        <f t="shared" si="11"/>
        <v>0</v>
      </c>
      <c r="N21" s="141">
        <f t="shared" si="11"/>
        <v>0</v>
      </c>
      <c r="O21" s="141">
        <f t="shared" si="11"/>
        <v>0</v>
      </c>
      <c r="P21" s="141">
        <f t="shared" si="11"/>
        <v>0</v>
      </c>
      <c r="Q21" s="141">
        <f t="shared" si="11"/>
        <v>0</v>
      </c>
      <c r="R21" s="61">
        <f t="shared" si="5"/>
        <v>0</v>
      </c>
    </row>
    <row r="22" spans="1:18" x14ac:dyDescent="0.15">
      <c r="A22" s="7" t="s">
        <v>99</v>
      </c>
      <c r="B22" s="143" t="s">
        <v>262</v>
      </c>
      <c r="C22" s="142">
        <v>0</v>
      </c>
      <c r="D22" s="71"/>
      <c r="E22" s="70">
        <f>($E$8+$E$9+$E$10)*C22</f>
        <v>0</v>
      </c>
      <c r="F22" s="141">
        <f t="shared" si="6"/>
        <v>0</v>
      </c>
      <c r="G22" s="141">
        <f t="shared" ref="G22:Q22" si="12">F22</f>
        <v>0</v>
      </c>
      <c r="H22" s="141">
        <f t="shared" si="12"/>
        <v>0</v>
      </c>
      <c r="I22" s="141">
        <f t="shared" si="12"/>
        <v>0</v>
      </c>
      <c r="J22" s="141">
        <f t="shared" si="12"/>
        <v>0</v>
      </c>
      <c r="K22" s="141">
        <f t="shared" si="12"/>
        <v>0</v>
      </c>
      <c r="L22" s="141">
        <f t="shared" si="12"/>
        <v>0</v>
      </c>
      <c r="M22" s="141">
        <f t="shared" si="12"/>
        <v>0</v>
      </c>
      <c r="N22" s="141">
        <f t="shared" si="12"/>
        <v>0</v>
      </c>
      <c r="O22" s="141">
        <f t="shared" si="12"/>
        <v>0</v>
      </c>
      <c r="P22" s="141">
        <f t="shared" si="12"/>
        <v>0</v>
      </c>
      <c r="Q22" s="141">
        <f t="shared" si="12"/>
        <v>0</v>
      </c>
      <c r="R22" s="61">
        <f t="shared" si="5"/>
        <v>0</v>
      </c>
    </row>
    <row r="23" spans="1:18" x14ac:dyDescent="0.15">
      <c r="A23" s="26" t="s">
        <v>100</v>
      </c>
      <c r="B23" s="26"/>
      <c r="C23" s="72">
        <f>SUM(C15:C22)</f>
        <v>0.1095</v>
      </c>
      <c r="D23" s="7"/>
      <c r="E23" s="60">
        <f>SUM(E15:E22)</f>
        <v>179.38749999999999</v>
      </c>
      <c r="F23" s="60">
        <f>SUM(F15:F22)</f>
        <v>179.38749999999999</v>
      </c>
      <c r="G23" s="60">
        <f t="shared" ref="G23:R23" si="13">SUM(G15:G22)</f>
        <v>179.38749999999999</v>
      </c>
      <c r="H23" s="60">
        <f t="shared" si="13"/>
        <v>179.38749999999999</v>
      </c>
      <c r="I23" s="60">
        <f t="shared" si="13"/>
        <v>179.38749999999999</v>
      </c>
      <c r="J23" s="60">
        <f t="shared" si="13"/>
        <v>179.38749999999999</v>
      </c>
      <c r="K23" s="60">
        <f t="shared" si="13"/>
        <v>179.38749999999999</v>
      </c>
      <c r="L23" s="60">
        <f t="shared" si="13"/>
        <v>179.38749999999999</v>
      </c>
      <c r="M23" s="60">
        <f t="shared" si="13"/>
        <v>179.38749999999999</v>
      </c>
      <c r="N23" s="60">
        <f t="shared" si="13"/>
        <v>179.38749999999999</v>
      </c>
      <c r="O23" s="60">
        <f t="shared" si="13"/>
        <v>179.38749999999999</v>
      </c>
      <c r="P23" s="60">
        <f t="shared" si="13"/>
        <v>179.38749999999999</v>
      </c>
      <c r="Q23" s="60">
        <f t="shared" si="13"/>
        <v>179.38749999999999</v>
      </c>
      <c r="R23" s="60">
        <f t="shared" si="13"/>
        <v>2152.6499999999996</v>
      </c>
    </row>
    <row r="24" spans="1:18" x14ac:dyDescent="0.15">
      <c r="A24" s="26"/>
      <c r="B24" s="26"/>
      <c r="C24" s="73"/>
      <c r="D24" s="7"/>
      <c r="E24" s="7"/>
      <c r="F24" s="7"/>
      <c r="G24" s="7"/>
      <c r="H24" s="7"/>
      <c r="I24" s="7"/>
      <c r="J24" s="7"/>
      <c r="K24" s="7"/>
      <c r="L24" s="7"/>
      <c r="M24" s="7"/>
      <c r="N24" s="7"/>
      <c r="O24" s="7"/>
      <c r="P24" s="7"/>
      <c r="Q24" s="7"/>
      <c r="R24" s="7"/>
    </row>
    <row r="25" spans="1:18" x14ac:dyDescent="0.15">
      <c r="A25" s="26" t="s">
        <v>101</v>
      </c>
      <c r="B25" s="26"/>
      <c r="C25" s="73"/>
      <c r="D25" s="7"/>
      <c r="E25" s="60">
        <f>E12+E23</f>
        <v>2021.0541666666666</v>
      </c>
      <c r="F25" s="60">
        <f t="shared" ref="F25:Q25" si="14">F12+F23</f>
        <v>2021.0541666666666</v>
      </c>
      <c r="G25" s="60">
        <f t="shared" si="14"/>
        <v>2021.0541666666666</v>
      </c>
      <c r="H25" s="60">
        <f t="shared" si="14"/>
        <v>2021.0541666666666</v>
      </c>
      <c r="I25" s="60">
        <f t="shared" si="14"/>
        <v>2021.0541666666666</v>
      </c>
      <c r="J25" s="60">
        <f t="shared" si="14"/>
        <v>2021.0541666666666</v>
      </c>
      <c r="K25" s="60">
        <f t="shared" si="14"/>
        <v>2021.0541666666666</v>
      </c>
      <c r="L25" s="60">
        <f t="shared" si="14"/>
        <v>2021.0541666666666</v>
      </c>
      <c r="M25" s="60">
        <f t="shared" si="14"/>
        <v>2021.0541666666666</v>
      </c>
      <c r="N25" s="60">
        <f t="shared" si="14"/>
        <v>2021.0541666666666</v>
      </c>
      <c r="O25" s="60">
        <f t="shared" si="14"/>
        <v>2021.0541666666666</v>
      </c>
      <c r="P25" s="60">
        <f t="shared" si="14"/>
        <v>2021.0541666666666</v>
      </c>
      <c r="Q25" s="60">
        <f t="shared" si="14"/>
        <v>2021.0541666666666</v>
      </c>
      <c r="R25" s="36">
        <f>R12+R23</f>
        <v>24252.65</v>
      </c>
    </row>
    <row r="29" spans="1:18" x14ac:dyDescent="0.15">
      <c r="A29" s="74"/>
      <c r="B29" s="74"/>
      <c r="C29" s="74"/>
    </row>
    <row r="30" spans="1:18" x14ac:dyDescent="0.15">
      <c r="A30" s="75"/>
      <c r="B30" s="76"/>
      <c r="C30" s="76"/>
    </row>
    <row r="31" spans="1:18" x14ac:dyDescent="0.15">
      <c r="A31" s="75"/>
      <c r="B31" s="77"/>
      <c r="C31" s="77"/>
    </row>
  </sheetData>
  <sheetProtection formatColumns="0" formatRows="0"/>
  <phoneticPr fontId="3" type="noConversion"/>
  <conditionalFormatting sqref="B8:D11">
    <cfRule type="containsBlanks" dxfId="69" priority="15" stopIfTrue="1">
      <formula>LEN(TRIM(B8))=0</formula>
    </cfRule>
  </conditionalFormatting>
  <conditionalFormatting sqref="F8:Q11">
    <cfRule type="containsBlanks" dxfId="68" priority="12" stopIfTrue="1">
      <formula>LEN(TRIM(F8))=0</formula>
    </cfRule>
  </conditionalFormatting>
  <conditionalFormatting sqref="F15:Q22">
    <cfRule type="containsBlanks" dxfId="67" priority="1">
      <formula>LEN(TRIM(F15))=0</formula>
    </cfRule>
  </conditionalFormatting>
  <printOptions horizontalCentered="1"/>
  <pageMargins left="0.25" right="0.25" top="0.75" bottom="0.75" header="0.3" footer="0.3"/>
  <pageSetup scale="61" orientation="landscape" r:id="rId1"/>
  <headerFooter scaleWithDoc="0">
    <oddHeader>&amp;C&amp;"Gill Sans MT,Regular"&amp;12Payroll Year 1</oddHeader>
    <oddFooter>&amp;L&amp;"Gill Sans MT,Regular"&amp;12&amp;F&amp;C&amp;"Gill Sans MT,Regular"&amp;12&amp;A&amp;R&amp;"Gill Sans MT,Regular"&amp;12&amp;D &amp;T</oddFooter>
  </headerFooter>
  <ignoredErrors>
    <ignoredError sqref="F8:Q11 F17:Q22 F15:Q16" unlockedFormula="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8">
    <tabColor rgb="FFFFC95B"/>
    <pageSetUpPr fitToPage="1"/>
  </sheetPr>
  <dimension ref="A2:AC47"/>
  <sheetViews>
    <sheetView zoomScale="200" zoomScaleNormal="100" workbookViewId="0">
      <selection activeCell="D9" sqref="D9"/>
    </sheetView>
  </sheetViews>
  <sheetFormatPr baseColWidth="10" defaultColWidth="9.1640625" defaultRowHeight="12" x14ac:dyDescent="0.15"/>
  <cols>
    <col min="1" max="1" width="7" style="78" customWidth="1"/>
    <col min="2" max="2" width="38" style="78" bestFit="1" customWidth="1"/>
    <col min="3" max="3" width="11.33203125" style="78" bestFit="1" customWidth="1"/>
    <col min="4" max="4" width="15.6640625" style="78" bestFit="1" customWidth="1"/>
    <col min="5" max="5" width="10.6640625" style="78" bestFit="1" customWidth="1"/>
    <col min="6" max="6" width="15.6640625" style="78" bestFit="1" customWidth="1"/>
    <col min="7" max="7" width="9.5" style="78" bestFit="1" customWidth="1"/>
    <col min="8" max="8" width="5.1640625" style="78" customWidth="1"/>
    <col min="9" max="9" width="5.5" style="78" customWidth="1"/>
    <col min="10" max="10" width="4.6640625" style="78" customWidth="1"/>
    <col min="11" max="11" width="8.1640625" style="78" customWidth="1"/>
    <col min="12" max="12" width="12.1640625" style="78" customWidth="1"/>
    <col min="13" max="13" width="9.5" style="78" customWidth="1"/>
    <col min="14" max="14" width="11.83203125" style="78" customWidth="1"/>
    <col min="15" max="15" width="11.5" style="78" customWidth="1"/>
    <col min="16" max="16" width="14.5" style="78" customWidth="1"/>
    <col min="17" max="17" width="8.6640625" style="78" customWidth="1"/>
    <col min="18" max="18" width="10.33203125" style="78" customWidth="1"/>
    <col min="19" max="19" width="7.5" style="78" customWidth="1"/>
    <col min="20" max="20" width="6.1640625" style="78" customWidth="1"/>
    <col min="21" max="21" width="5.1640625" style="78" customWidth="1"/>
    <col min="22" max="22" width="5.5" style="78" customWidth="1"/>
    <col min="23" max="23" width="4.6640625" style="78" customWidth="1"/>
    <col min="24" max="24" width="8.1640625" style="78" customWidth="1"/>
    <col min="25" max="25" width="12.1640625" style="78" customWidth="1"/>
    <col min="26" max="26" width="9.5" style="78" customWidth="1"/>
    <col min="27" max="27" width="11.83203125" style="78" customWidth="1"/>
    <col min="28" max="28" width="11.5" style="78" customWidth="1"/>
    <col min="29" max="29" width="14.5" style="78" customWidth="1"/>
    <col min="30" max="16384" width="9.1640625" style="78"/>
  </cols>
  <sheetData>
    <row r="2" spans="1:29" x14ac:dyDescent="0.15">
      <c r="B2" s="55" t="s">
        <v>232</v>
      </c>
      <c r="C2" s="56"/>
      <c r="D2" s="57"/>
      <c r="E2" s="56"/>
      <c r="F2" s="57"/>
      <c r="G2" s="56"/>
    </row>
    <row r="3" spans="1:29" x14ac:dyDescent="0.15">
      <c r="B3" s="57"/>
      <c r="C3" s="56"/>
      <c r="D3" s="57"/>
    </row>
    <row r="4" spans="1:29" x14ac:dyDescent="0.15">
      <c r="A4" s="79"/>
      <c r="B4" s="58" t="s">
        <v>130</v>
      </c>
      <c r="C4" s="501" t="s">
        <v>131</v>
      </c>
      <c r="D4" s="501"/>
      <c r="E4" s="79"/>
      <c r="F4" s="79"/>
      <c r="G4" s="79"/>
      <c r="H4" s="79"/>
      <c r="I4" s="79"/>
      <c r="J4" s="79"/>
      <c r="K4" s="79"/>
      <c r="L4" s="79"/>
      <c r="M4" s="79"/>
      <c r="N4" s="79"/>
      <c r="O4" s="79"/>
      <c r="P4" s="79"/>
      <c r="Q4" s="79"/>
      <c r="R4" s="79"/>
      <c r="S4" s="79"/>
      <c r="T4" s="79"/>
      <c r="U4" s="79"/>
      <c r="V4" s="79"/>
      <c r="W4" s="79"/>
      <c r="X4" s="79"/>
      <c r="Y4" s="79"/>
    </row>
    <row r="5" spans="1:29" x14ac:dyDescent="0.15">
      <c r="A5" s="5"/>
      <c r="B5" s="5" t="str">
        <f>IF(ISBLANK(Directions!C10), "Owner", Directions!C10)</f>
        <v>Dave Johnson</v>
      </c>
      <c r="C5" s="502" t="str">
        <f>IF(ISBLANK(Directions!D10), "Company 1", Directions!D10)</f>
        <v>Dave's Famous Pretzels</v>
      </c>
      <c r="D5" s="502"/>
      <c r="E5" s="19"/>
      <c r="F5" s="59"/>
      <c r="G5" s="19"/>
      <c r="H5" s="80"/>
      <c r="I5" s="80"/>
      <c r="J5" s="80"/>
      <c r="K5" s="80"/>
      <c r="L5" s="80"/>
      <c r="M5" s="80"/>
      <c r="N5" s="80"/>
      <c r="O5" s="80"/>
      <c r="P5" s="81"/>
      <c r="Q5" s="80"/>
      <c r="R5" s="80"/>
      <c r="S5" s="80"/>
      <c r="T5" s="80"/>
      <c r="U5" s="80"/>
      <c r="V5" s="80"/>
      <c r="W5" s="80"/>
      <c r="X5" s="80"/>
      <c r="Y5" s="80"/>
      <c r="Z5" s="80"/>
      <c r="AA5" s="80"/>
      <c r="AB5" s="80"/>
      <c r="AC5" s="81"/>
    </row>
    <row r="6" spans="1:29" x14ac:dyDescent="0.15">
      <c r="A6" s="5"/>
      <c r="H6" s="80"/>
      <c r="I6" s="80"/>
      <c r="J6" s="80"/>
      <c r="K6" s="80"/>
      <c r="L6" s="80"/>
      <c r="M6" s="80"/>
      <c r="N6" s="80"/>
      <c r="O6" s="80"/>
      <c r="P6" s="81"/>
      <c r="Q6" s="80"/>
      <c r="R6" s="80"/>
      <c r="S6" s="80"/>
      <c r="T6" s="80"/>
      <c r="U6" s="80"/>
      <c r="V6" s="80"/>
      <c r="W6" s="80"/>
      <c r="X6" s="80"/>
      <c r="Y6" s="80"/>
      <c r="Z6" s="80"/>
      <c r="AA6" s="80"/>
      <c r="AB6" s="80"/>
      <c r="AC6" s="81"/>
    </row>
    <row r="7" spans="1:29" x14ac:dyDescent="0.15">
      <c r="A7" s="5"/>
      <c r="H7" s="80"/>
      <c r="I7" s="80"/>
      <c r="J7" s="80"/>
      <c r="K7" s="80"/>
      <c r="L7" s="80"/>
      <c r="M7" s="80"/>
      <c r="N7" s="80"/>
      <c r="O7" s="80"/>
      <c r="P7" s="81"/>
      <c r="Q7" s="80"/>
      <c r="R7" s="80"/>
      <c r="S7" s="80"/>
      <c r="T7" s="80"/>
      <c r="U7" s="80"/>
      <c r="V7" s="80"/>
      <c r="W7" s="80"/>
      <c r="X7" s="80"/>
      <c r="Y7" s="80"/>
      <c r="Z7" s="80"/>
      <c r="AA7" s="80"/>
      <c r="AB7" s="80"/>
      <c r="AC7" s="81"/>
    </row>
    <row r="8" spans="1:29" ht="20" customHeight="1" thickBot="1" x14ac:dyDescent="0.2">
      <c r="A8" s="5"/>
      <c r="B8" s="344" t="s">
        <v>172</v>
      </c>
      <c r="C8" s="344" t="s">
        <v>206</v>
      </c>
      <c r="D8" s="344" t="s">
        <v>119</v>
      </c>
      <c r="E8" s="345" t="str">
        <f>IF(Directions!G7&gt;0,Directions!G7+1,"Second Year")</f>
        <v>Second Year</v>
      </c>
      <c r="F8" s="344" t="s">
        <v>120</v>
      </c>
      <c r="G8" s="345" t="str">
        <f>IF(Directions!G7&gt;0,Directions!G7+2,"Third Year")</f>
        <v>Third Year</v>
      </c>
      <c r="H8" s="80"/>
      <c r="I8" s="80"/>
      <c r="J8" s="80"/>
      <c r="K8" s="80"/>
      <c r="L8" s="80"/>
      <c r="M8" s="80"/>
      <c r="N8" s="80"/>
      <c r="O8" s="80"/>
      <c r="P8" s="81"/>
      <c r="Q8" s="80"/>
      <c r="R8" s="80"/>
      <c r="S8" s="80"/>
      <c r="T8" s="80"/>
      <c r="U8" s="80"/>
      <c r="V8" s="80"/>
      <c r="W8" s="80"/>
      <c r="X8" s="80"/>
      <c r="Y8" s="80"/>
      <c r="Z8" s="80"/>
      <c r="AA8" s="80"/>
      <c r="AB8" s="80"/>
      <c r="AC8" s="81"/>
    </row>
    <row r="9" spans="1:29" ht="13" thickTop="1" x14ac:dyDescent="0.15">
      <c r="A9" s="82"/>
      <c r="B9" s="322" t="s">
        <v>121</v>
      </c>
      <c r="C9" s="329">
        <f>'2a-PayrollYear1'!R8</f>
        <v>15600</v>
      </c>
      <c r="D9" s="330">
        <v>0.2</v>
      </c>
      <c r="E9" s="165">
        <f>C9*D9+C9</f>
        <v>18720</v>
      </c>
      <c r="F9" s="330">
        <v>0.3</v>
      </c>
      <c r="G9" s="165">
        <f>E9*F9+E9</f>
        <v>24336</v>
      </c>
      <c r="H9" s="81"/>
      <c r="I9" s="81"/>
      <c r="J9" s="81"/>
      <c r="K9" s="81"/>
      <c r="L9" s="81"/>
      <c r="M9" s="81"/>
      <c r="N9" s="81"/>
      <c r="O9" s="81"/>
      <c r="P9" s="81"/>
      <c r="Q9" s="81"/>
      <c r="R9" s="81"/>
      <c r="S9" s="81"/>
      <c r="T9" s="81"/>
      <c r="U9" s="81"/>
      <c r="V9" s="81"/>
      <c r="W9" s="81"/>
      <c r="X9" s="81"/>
      <c r="Y9" s="81"/>
      <c r="Z9" s="81"/>
      <c r="AA9" s="81"/>
      <c r="AB9" s="81"/>
      <c r="AC9" s="81"/>
    </row>
    <row r="10" spans="1:29" x14ac:dyDescent="0.15">
      <c r="A10" s="9"/>
      <c r="B10" s="7" t="s">
        <v>87</v>
      </c>
      <c r="C10" s="288">
        <f>'2a-PayrollYear1'!R9</f>
        <v>0</v>
      </c>
      <c r="D10" s="140">
        <v>0.2</v>
      </c>
      <c r="E10" s="83">
        <f>C10*D10+C10</f>
        <v>0</v>
      </c>
      <c r="F10" s="140">
        <v>0.3</v>
      </c>
      <c r="G10" s="83">
        <f>E10*F10+E10</f>
        <v>0</v>
      </c>
      <c r="H10" s="46"/>
      <c r="I10" s="46"/>
      <c r="J10" s="46"/>
      <c r="K10" s="46"/>
      <c r="L10" s="46"/>
      <c r="M10" s="46"/>
      <c r="N10" s="46"/>
      <c r="O10" s="46"/>
      <c r="P10" s="84"/>
      <c r="Q10" s="5"/>
      <c r="R10" s="5"/>
      <c r="S10" s="5"/>
      <c r="T10" s="46"/>
      <c r="U10" s="46"/>
      <c r="V10" s="46"/>
      <c r="W10" s="46"/>
      <c r="X10" s="46"/>
      <c r="Y10" s="46"/>
      <c r="Z10" s="46"/>
      <c r="AA10" s="46"/>
      <c r="AB10" s="46"/>
      <c r="AC10" s="84"/>
    </row>
    <row r="11" spans="1:29" x14ac:dyDescent="0.15">
      <c r="A11" s="79"/>
      <c r="B11" s="7" t="s">
        <v>88</v>
      </c>
      <c r="C11" s="288">
        <f>'2a-PayrollYear1'!R10</f>
        <v>6500.0000000000009</v>
      </c>
      <c r="D11" s="140">
        <v>0.1</v>
      </c>
      <c r="E11" s="83">
        <f>C11*D11+C11</f>
        <v>7150.0000000000009</v>
      </c>
      <c r="F11" s="140">
        <v>0.3</v>
      </c>
      <c r="G11" s="83">
        <f>E11*F11+E11</f>
        <v>9295</v>
      </c>
      <c r="H11" s="79"/>
      <c r="I11" s="79"/>
      <c r="J11" s="79"/>
      <c r="K11" s="79"/>
      <c r="L11" s="79"/>
      <c r="M11" s="79"/>
      <c r="N11" s="79"/>
      <c r="O11" s="79"/>
      <c r="P11" s="79"/>
      <c r="Q11" s="79"/>
      <c r="R11" s="79"/>
      <c r="S11" s="79"/>
      <c r="T11" s="79"/>
      <c r="U11" s="79"/>
      <c r="V11" s="79"/>
      <c r="W11" s="79"/>
      <c r="X11" s="79"/>
      <c r="Y11" s="79"/>
      <c r="Z11" s="79"/>
      <c r="AA11" s="79"/>
      <c r="AB11" s="79"/>
      <c r="AC11" s="79"/>
    </row>
    <row r="12" spans="1:29" x14ac:dyDescent="0.15">
      <c r="A12" s="5"/>
      <c r="B12" s="7" t="s">
        <v>89</v>
      </c>
      <c r="C12" s="288">
        <f>'2a-PayrollYear1'!R11</f>
        <v>0</v>
      </c>
      <c r="D12" s="140">
        <v>0.03</v>
      </c>
      <c r="E12" s="83">
        <f>C12*D12+C12</f>
        <v>0</v>
      </c>
      <c r="F12" s="140">
        <v>0.03</v>
      </c>
      <c r="G12" s="83">
        <f>E12*F12+E12</f>
        <v>0</v>
      </c>
      <c r="H12" s="80"/>
      <c r="I12" s="80"/>
      <c r="J12" s="80"/>
      <c r="K12" s="80"/>
      <c r="L12" s="80"/>
      <c r="M12" s="80"/>
      <c r="N12" s="80"/>
      <c r="O12" s="80"/>
      <c r="P12" s="81"/>
      <c r="Q12" s="80"/>
      <c r="R12" s="80"/>
      <c r="S12" s="80"/>
      <c r="T12" s="80"/>
      <c r="U12" s="80"/>
      <c r="V12" s="80"/>
      <c r="W12" s="80"/>
      <c r="X12" s="80"/>
      <c r="Y12" s="80"/>
      <c r="Z12" s="80"/>
      <c r="AA12" s="80"/>
      <c r="AB12" s="80"/>
      <c r="AC12" s="81"/>
    </row>
    <row r="13" spans="1:29" x14ac:dyDescent="0.15">
      <c r="A13" s="5"/>
      <c r="B13" s="26" t="s">
        <v>90</v>
      </c>
      <c r="C13" s="61">
        <f>SUM(C9:C12)</f>
        <v>22100</v>
      </c>
      <c r="D13" s="85"/>
      <c r="E13" s="86">
        <f>SUM(E9:E12)</f>
        <v>25870</v>
      </c>
      <c r="F13" s="85"/>
      <c r="G13" s="86">
        <f>SUM(G9:G12)</f>
        <v>33631</v>
      </c>
      <c r="H13" s="80"/>
      <c r="I13" s="80"/>
      <c r="J13" s="80"/>
      <c r="K13" s="80"/>
      <c r="L13" s="80"/>
      <c r="M13" s="80"/>
      <c r="N13" s="80"/>
      <c r="O13" s="80"/>
      <c r="P13" s="81"/>
      <c r="Q13" s="80"/>
      <c r="R13" s="80"/>
      <c r="S13" s="80"/>
      <c r="T13" s="80"/>
      <c r="U13" s="80"/>
      <c r="V13" s="80"/>
      <c r="W13" s="80"/>
      <c r="X13" s="80"/>
      <c r="Y13" s="80"/>
      <c r="Z13" s="80"/>
      <c r="AA13" s="80"/>
      <c r="AB13" s="80"/>
      <c r="AC13" s="81"/>
    </row>
    <row r="14" spans="1:29" x14ac:dyDescent="0.15">
      <c r="A14" s="5"/>
      <c r="B14" s="26"/>
      <c r="C14" s="40"/>
      <c r="D14" s="85"/>
      <c r="E14" s="83"/>
      <c r="F14" s="85"/>
      <c r="G14" s="83"/>
      <c r="H14" s="80"/>
      <c r="I14" s="80"/>
      <c r="J14" s="80"/>
      <c r="K14" s="80"/>
      <c r="L14" s="80"/>
      <c r="M14" s="80"/>
      <c r="N14" s="80"/>
      <c r="O14" s="80"/>
      <c r="P14" s="81"/>
      <c r="Q14" s="80"/>
      <c r="R14" s="80"/>
      <c r="S14" s="80"/>
      <c r="T14" s="80"/>
      <c r="U14" s="80"/>
      <c r="V14" s="80"/>
      <c r="W14" s="80"/>
      <c r="X14" s="80"/>
      <c r="Y14" s="80"/>
      <c r="Z14" s="80"/>
      <c r="AA14" s="80"/>
      <c r="AB14" s="80"/>
      <c r="AC14" s="81"/>
    </row>
    <row r="15" spans="1:29" ht="14" thickBot="1" x14ac:dyDescent="0.2">
      <c r="A15" s="5"/>
      <c r="B15" s="344" t="s">
        <v>91</v>
      </c>
      <c r="C15" s="344"/>
      <c r="D15" s="346"/>
      <c r="E15" s="345"/>
      <c r="F15" s="346"/>
      <c r="G15" s="345"/>
      <c r="H15" s="80"/>
      <c r="I15" s="80"/>
      <c r="J15" s="80"/>
      <c r="K15" s="80"/>
      <c r="L15" s="80"/>
      <c r="M15" s="80"/>
      <c r="N15" s="80"/>
      <c r="O15" s="80"/>
      <c r="P15" s="81"/>
      <c r="Q15" s="80"/>
      <c r="R15" s="80"/>
      <c r="S15" s="80"/>
      <c r="T15" s="80"/>
      <c r="U15" s="80"/>
      <c r="V15" s="80"/>
      <c r="W15" s="80"/>
      <c r="X15" s="80"/>
      <c r="Y15" s="80"/>
      <c r="Z15" s="80"/>
      <c r="AA15" s="80"/>
      <c r="AB15" s="80"/>
      <c r="AC15" s="81"/>
    </row>
    <row r="16" spans="1:29" ht="13" thickTop="1" x14ac:dyDescent="0.15">
      <c r="A16" s="5"/>
      <c r="B16" s="322" t="s">
        <v>92</v>
      </c>
      <c r="C16" s="329">
        <f>'2a-PayrollYear1'!R15</f>
        <v>1370.2</v>
      </c>
      <c r="D16" s="330">
        <v>0.2</v>
      </c>
      <c r="E16" s="165">
        <f t="shared" ref="E16:E23" si="0">C16*D16+C16</f>
        <v>1644.24</v>
      </c>
      <c r="F16" s="330">
        <v>0.3</v>
      </c>
      <c r="G16" s="165">
        <f>E16*F16+E16</f>
        <v>2137.5120000000002</v>
      </c>
      <c r="H16" s="80"/>
      <c r="I16" s="80"/>
      <c r="J16" s="80"/>
      <c r="K16" s="80"/>
      <c r="L16" s="80"/>
      <c r="M16" s="80"/>
      <c r="N16" s="80"/>
      <c r="O16" s="80"/>
      <c r="P16" s="81"/>
      <c r="Q16" s="80"/>
      <c r="R16" s="80"/>
      <c r="S16" s="80"/>
      <c r="T16" s="80"/>
      <c r="U16" s="80"/>
      <c r="V16" s="80"/>
      <c r="W16" s="80"/>
      <c r="X16" s="80"/>
      <c r="Y16" s="80"/>
      <c r="Z16" s="80"/>
      <c r="AA16" s="80"/>
      <c r="AB16" s="80"/>
      <c r="AC16" s="81"/>
    </row>
    <row r="17" spans="1:29" x14ac:dyDescent="0.15">
      <c r="A17" s="5"/>
      <c r="B17" s="7" t="s">
        <v>93</v>
      </c>
      <c r="C17" s="288">
        <f>'2a-PayrollYear1'!R16</f>
        <v>320.44999999999987</v>
      </c>
      <c r="D17" s="140">
        <v>0.2</v>
      </c>
      <c r="E17" s="83">
        <f t="shared" si="0"/>
        <v>384.53999999999985</v>
      </c>
      <c r="F17" s="140">
        <v>0.3</v>
      </c>
      <c r="G17" s="83">
        <f t="shared" ref="G17:G23" si="1">E17*F17+E17</f>
        <v>499.90199999999982</v>
      </c>
      <c r="H17" s="80"/>
      <c r="I17" s="80"/>
      <c r="J17" s="80"/>
      <c r="K17" s="80"/>
      <c r="L17" s="80"/>
      <c r="M17" s="80"/>
      <c r="N17" s="80"/>
      <c r="O17" s="80"/>
      <c r="P17" s="81"/>
      <c r="Q17" s="80"/>
      <c r="R17" s="80"/>
      <c r="S17" s="80"/>
      <c r="T17" s="80"/>
      <c r="U17" s="80"/>
      <c r="V17" s="80"/>
      <c r="W17" s="80"/>
      <c r="X17" s="80"/>
      <c r="Y17" s="80"/>
      <c r="Z17" s="80"/>
      <c r="AA17" s="80"/>
      <c r="AB17" s="80"/>
      <c r="AC17" s="81"/>
    </row>
    <row r="18" spans="1:29" x14ac:dyDescent="0.15">
      <c r="A18" s="5"/>
      <c r="B18" s="7" t="s">
        <v>94</v>
      </c>
      <c r="C18" s="288">
        <f>'2a-PayrollYear1'!R17</f>
        <v>84</v>
      </c>
      <c r="D18" s="140">
        <v>0.2</v>
      </c>
      <c r="E18" s="83">
        <f t="shared" si="0"/>
        <v>100.8</v>
      </c>
      <c r="F18" s="140">
        <v>0.3</v>
      </c>
      <c r="G18" s="83">
        <f t="shared" si="1"/>
        <v>131.04</v>
      </c>
      <c r="H18" s="80"/>
      <c r="I18" s="80"/>
      <c r="J18" s="80"/>
      <c r="K18" s="80"/>
      <c r="L18" s="80"/>
      <c r="M18" s="80"/>
      <c r="N18" s="80"/>
      <c r="O18" s="80"/>
      <c r="P18" s="81"/>
      <c r="Q18" s="80"/>
      <c r="R18" s="80"/>
      <c r="S18" s="80"/>
      <c r="T18" s="80"/>
      <c r="U18" s="80"/>
      <c r="V18" s="80"/>
      <c r="W18" s="80"/>
      <c r="X18" s="80"/>
      <c r="Y18" s="80"/>
      <c r="Z18" s="80"/>
      <c r="AA18" s="80"/>
      <c r="AB18" s="80"/>
      <c r="AC18" s="81"/>
    </row>
    <row r="19" spans="1:29" x14ac:dyDescent="0.15">
      <c r="A19" s="5"/>
      <c r="B19" s="7" t="s">
        <v>95</v>
      </c>
      <c r="C19" s="288">
        <f>'2a-PayrollYear1'!R18</f>
        <v>378</v>
      </c>
      <c r="D19" s="140">
        <v>0.2</v>
      </c>
      <c r="E19" s="83">
        <f t="shared" si="0"/>
        <v>453.6</v>
      </c>
      <c r="F19" s="140">
        <v>0.3</v>
      </c>
      <c r="G19" s="83">
        <f t="shared" si="1"/>
        <v>589.68000000000006</v>
      </c>
      <c r="H19" s="80"/>
      <c r="I19" s="80"/>
      <c r="J19" s="80"/>
      <c r="K19" s="80"/>
      <c r="L19" s="80"/>
      <c r="M19" s="80"/>
      <c r="N19" s="80"/>
      <c r="O19" s="80"/>
      <c r="P19" s="81"/>
      <c r="Q19" s="80"/>
      <c r="R19" s="80"/>
      <c r="S19" s="80"/>
      <c r="T19" s="80"/>
      <c r="U19" s="80"/>
      <c r="V19" s="80"/>
      <c r="W19" s="80"/>
      <c r="X19" s="80"/>
      <c r="Y19" s="80"/>
      <c r="Z19" s="80"/>
      <c r="AA19" s="80"/>
      <c r="AB19" s="80"/>
      <c r="AC19" s="81"/>
    </row>
    <row r="20" spans="1:29" x14ac:dyDescent="0.15">
      <c r="A20" s="82"/>
      <c r="B20" s="7" t="s">
        <v>96</v>
      </c>
      <c r="C20" s="288">
        <f>'2a-PayrollYear1'!R19</f>
        <v>0</v>
      </c>
      <c r="D20" s="140">
        <v>0</v>
      </c>
      <c r="E20" s="83">
        <f t="shared" si="0"/>
        <v>0</v>
      </c>
      <c r="F20" s="140">
        <v>0</v>
      </c>
      <c r="G20" s="83">
        <f t="shared" si="1"/>
        <v>0</v>
      </c>
      <c r="H20" s="88"/>
      <c r="I20" s="88"/>
      <c r="J20" s="88"/>
      <c r="K20" s="88"/>
      <c r="L20" s="88"/>
      <c r="M20" s="88"/>
      <c r="N20" s="88"/>
      <c r="O20" s="88"/>
      <c r="P20" s="89"/>
      <c r="Q20" s="88"/>
      <c r="R20" s="88"/>
      <c r="S20" s="88"/>
      <c r="T20" s="88"/>
      <c r="U20" s="88"/>
      <c r="V20" s="88"/>
      <c r="W20" s="88"/>
      <c r="X20" s="88"/>
      <c r="Y20" s="88"/>
      <c r="Z20" s="88"/>
      <c r="AA20" s="88"/>
      <c r="AB20" s="88"/>
      <c r="AC20" s="89"/>
    </row>
    <row r="21" spans="1:29" x14ac:dyDescent="0.15">
      <c r="A21" s="9"/>
      <c r="B21" s="7" t="s">
        <v>97</v>
      </c>
      <c r="C21" s="288">
        <f>'2a-PayrollYear1'!R20</f>
        <v>0</v>
      </c>
      <c r="D21" s="140">
        <v>0.03</v>
      </c>
      <c r="E21" s="83">
        <f t="shared" si="0"/>
        <v>0</v>
      </c>
      <c r="F21" s="140">
        <v>0.03</v>
      </c>
      <c r="G21" s="83">
        <f t="shared" si="1"/>
        <v>0</v>
      </c>
      <c r="H21" s="46"/>
      <c r="I21" s="46"/>
      <c r="J21" s="46"/>
      <c r="K21" s="46"/>
      <c r="L21" s="46"/>
      <c r="M21" s="46"/>
      <c r="N21" s="46"/>
      <c r="O21" s="46"/>
      <c r="P21" s="46"/>
      <c r="Q21" s="5"/>
      <c r="R21" s="5"/>
      <c r="S21" s="5"/>
      <c r="T21" s="46"/>
      <c r="U21" s="46"/>
      <c r="V21" s="46"/>
      <c r="W21" s="46"/>
      <c r="X21" s="46"/>
      <c r="Y21" s="46"/>
      <c r="Z21" s="46"/>
      <c r="AA21" s="46"/>
      <c r="AB21" s="46"/>
      <c r="AC21" s="46"/>
    </row>
    <row r="22" spans="1:29" x14ac:dyDescent="0.15">
      <c r="A22" s="82"/>
      <c r="B22" s="7" t="s">
        <v>98</v>
      </c>
      <c r="C22" s="288">
        <f>'2a-PayrollYear1'!R21</f>
        <v>0</v>
      </c>
      <c r="D22" s="140">
        <v>0.03</v>
      </c>
      <c r="E22" s="83">
        <f t="shared" si="0"/>
        <v>0</v>
      </c>
      <c r="F22" s="140">
        <v>0.03</v>
      </c>
      <c r="G22" s="83">
        <f t="shared" si="1"/>
        <v>0</v>
      </c>
      <c r="H22" s="90"/>
      <c r="I22" s="90"/>
      <c r="J22" s="90"/>
      <c r="K22" s="90"/>
      <c r="L22" s="90"/>
      <c r="M22" s="90"/>
      <c r="N22" s="90"/>
      <c r="O22" s="90"/>
      <c r="P22" s="91"/>
      <c r="Q22" s="90"/>
      <c r="R22" s="90"/>
      <c r="S22" s="90"/>
      <c r="T22" s="90"/>
      <c r="U22" s="90"/>
      <c r="V22" s="90"/>
      <c r="W22" s="90"/>
      <c r="X22" s="90"/>
      <c r="Y22" s="90"/>
      <c r="Z22" s="90"/>
      <c r="AA22" s="90"/>
      <c r="AB22" s="90"/>
      <c r="AC22" s="91"/>
    </row>
    <row r="23" spans="1:29" x14ac:dyDescent="0.15">
      <c r="B23" s="7" t="s">
        <v>99</v>
      </c>
      <c r="C23" s="288">
        <f>'2a-PayrollYear1'!R22</f>
        <v>0</v>
      </c>
      <c r="D23" s="140">
        <v>0.1</v>
      </c>
      <c r="E23" s="83">
        <f t="shared" si="0"/>
        <v>0</v>
      </c>
      <c r="F23" s="140">
        <v>0.1</v>
      </c>
      <c r="G23" s="83">
        <f t="shared" si="1"/>
        <v>0</v>
      </c>
    </row>
    <row r="24" spans="1:29" x14ac:dyDescent="0.15">
      <c r="B24" s="26" t="s">
        <v>100</v>
      </c>
      <c r="C24" s="60">
        <f>SUM(C16:C23)</f>
        <v>2152.6499999999996</v>
      </c>
      <c r="D24" s="85"/>
      <c r="E24" s="86">
        <f>SUM(E16:E23)</f>
        <v>2583.1799999999998</v>
      </c>
      <c r="F24" s="85"/>
      <c r="G24" s="86">
        <f>SUM(G16:G23)</f>
        <v>3358.134</v>
      </c>
    </row>
    <row r="25" spans="1:29" x14ac:dyDescent="0.15">
      <c r="A25" s="79"/>
      <c r="B25" s="26"/>
      <c r="C25" s="7"/>
      <c r="D25" s="85"/>
      <c r="E25" s="83"/>
      <c r="F25" s="85"/>
      <c r="G25" s="83"/>
      <c r="H25" s="79"/>
      <c r="I25" s="79"/>
      <c r="J25" s="79"/>
      <c r="K25" s="79"/>
      <c r="L25" s="79"/>
      <c r="M25" s="79"/>
      <c r="N25" s="79"/>
      <c r="O25" s="79"/>
      <c r="P25" s="79"/>
    </row>
    <row r="26" spans="1:29" x14ac:dyDescent="0.15">
      <c r="A26" s="5"/>
      <c r="B26" s="26" t="s">
        <v>101</v>
      </c>
      <c r="C26" s="36">
        <f>SUM(C13+C24)</f>
        <v>24252.65</v>
      </c>
      <c r="D26" s="85"/>
      <c r="E26" s="92">
        <f>SUM(E13+E24)</f>
        <v>28453.18</v>
      </c>
      <c r="F26" s="85"/>
      <c r="G26" s="92">
        <f>SUM(G13+G24)</f>
        <v>36989.133999999998</v>
      </c>
      <c r="H26" s="80"/>
      <c r="I26" s="80"/>
      <c r="J26" s="80"/>
      <c r="K26" s="80"/>
      <c r="L26" s="80"/>
      <c r="M26" s="80"/>
      <c r="N26" s="80"/>
      <c r="O26" s="80"/>
      <c r="P26" s="81"/>
    </row>
    <row r="27" spans="1:29" x14ac:dyDescent="0.15">
      <c r="A27" s="5"/>
      <c r="D27" s="93"/>
      <c r="E27" s="94"/>
      <c r="F27" s="93"/>
      <c r="G27" s="94"/>
      <c r="H27" s="80"/>
      <c r="I27" s="80"/>
      <c r="J27" s="80"/>
      <c r="K27" s="80"/>
      <c r="L27" s="80"/>
      <c r="M27" s="80"/>
      <c r="N27" s="80"/>
      <c r="O27" s="80"/>
      <c r="P27" s="81"/>
    </row>
    <row r="28" spans="1:29" x14ac:dyDescent="0.15">
      <c r="A28" s="5"/>
      <c r="D28" s="93"/>
      <c r="E28" s="94"/>
      <c r="F28" s="93"/>
      <c r="G28" s="94"/>
      <c r="H28" s="80"/>
      <c r="I28" s="80"/>
      <c r="J28" s="80"/>
      <c r="K28" s="80"/>
      <c r="L28" s="80"/>
      <c r="M28" s="80"/>
      <c r="N28" s="80"/>
      <c r="O28" s="80"/>
      <c r="P28" s="81"/>
    </row>
    <row r="29" spans="1:29" x14ac:dyDescent="0.15">
      <c r="A29" s="5"/>
      <c r="B29" s="95"/>
      <c r="C29" s="95"/>
      <c r="D29" s="93"/>
      <c r="E29" s="94"/>
      <c r="F29" s="93"/>
      <c r="G29" s="94"/>
      <c r="H29" s="80"/>
      <c r="I29" s="80"/>
      <c r="J29" s="80"/>
      <c r="K29" s="80"/>
      <c r="L29" s="80"/>
      <c r="M29" s="80"/>
      <c r="N29" s="80"/>
      <c r="O29" s="80"/>
      <c r="P29" s="81"/>
    </row>
    <row r="30" spans="1:29" x14ac:dyDescent="0.15">
      <c r="A30" s="82"/>
      <c r="B30" s="96"/>
      <c r="C30" s="80"/>
      <c r="D30" s="93"/>
      <c r="E30" s="94"/>
      <c r="F30" s="93"/>
      <c r="G30" s="94"/>
      <c r="H30" s="81"/>
      <c r="I30" s="81"/>
      <c r="J30" s="81"/>
      <c r="K30" s="81"/>
      <c r="L30" s="81"/>
      <c r="M30" s="81"/>
      <c r="N30" s="81"/>
      <c r="O30" s="81"/>
      <c r="P30" s="81"/>
    </row>
    <row r="31" spans="1:29" x14ac:dyDescent="0.15">
      <c r="A31" s="9"/>
      <c r="B31" s="96"/>
      <c r="C31" s="80"/>
      <c r="D31" s="93"/>
      <c r="E31" s="94"/>
      <c r="F31" s="93"/>
      <c r="G31" s="94"/>
      <c r="H31" s="46"/>
      <c r="I31" s="46"/>
      <c r="J31" s="46"/>
      <c r="K31" s="46"/>
      <c r="L31" s="46"/>
      <c r="M31" s="46"/>
      <c r="N31" s="46"/>
      <c r="O31" s="46"/>
      <c r="P31" s="84"/>
    </row>
    <row r="32" spans="1:29" x14ac:dyDescent="0.15">
      <c r="A32" s="79"/>
      <c r="B32" s="96"/>
      <c r="C32" s="80"/>
      <c r="D32" s="93"/>
      <c r="E32" s="94"/>
      <c r="F32" s="93"/>
      <c r="G32" s="94"/>
      <c r="H32" s="79"/>
      <c r="I32" s="79"/>
      <c r="J32" s="79"/>
      <c r="K32" s="79"/>
      <c r="L32" s="79"/>
      <c r="M32" s="79"/>
      <c r="N32" s="79"/>
      <c r="O32" s="79"/>
      <c r="P32" s="79"/>
    </row>
    <row r="33" spans="1:16" x14ac:dyDescent="0.15">
      <c r="A33" s="5"/>
      <c r="B33" s="96"/>
      <c r="C33" s="80"/>
      <c r="D33" s="93"/>
      <c r="E33" s="94"/>
      <c r="F33" s="93"/>
      <c r="G33" s="94"/>
      <c r="H33" s="80"/>
      <c r="I33" s="80"/>
      <c r="J33" s="80"/>
      <c r="K33" s="80"/>
      <c r="L33" s="80"/>
      <c r="M33" s="80"/>
      <c r="N33" s="80"/>
      <c r="O33" s="80"/>
      <c r="P33" s="81"/>
    </row>
    <row r="34" spans="1:16" x14ac:dyDescent="0.15">
      <c r="A34" s="5"/>
      <c r="B34" s="82"/>
      <c r="C34" s="97"/>
      <c r="D34" s="74"/>
      <c r="E34" s="89"/>
      <c r="F34" s="74"/>
      <c r="G34" s="89"/>
      <c r="H34" s="80"/>
      <c r="I34" s="80"/>
      <c r="J34" s="80"/>
      <c r="K34" s="80"/>
      <c r="L34" s="80"/>
      <c r="M34" s="80"/>
      <c r="N34" s="80"/>
      <c r="O34" s="80"/>
      <c r="P34" s="81"/>
    </row>
    <row r="35" spans="1:16" x14ac:dyDescent="0.15">
      <c r="A35" s="5"/>
      <c r="B35" s="9"/>
      <c r="C35" s="98"/>
      <c r="D35" s="84"/>
      <c r="E35" s="5"/>
      <c r="F35" s="5"/>
      <c r="G35" s="46"/>
      <c r="H35" s="80"/>
      <c r="I35" s="80"/>
      <c r="J35" s="80"/>
      <c r="K35" s="80"/>
      <c r="L35" s="80"/>
      <c r="M35" s="80"/>
      <c r="N35" s="80"/>
      <c r="O35" s="80"/>
      <c r="P35" s="81"/>
    </row>
    <row r="36" spans="1:16" x14ac:dyDescent="0.15">
      <c r="A36" s="5"/>
      <c r="B36" s="82"/>
      <c r="C36" s="99"/>
      <c r="D36" s="79"/>
      <c r="E36" s="79"/>
      <c r="F36" s="79"/>
      <c r="G36" s="79"/>
      <c r="H36" s="80"/>
      <c r="I36" s="80"/>
      <c r="J36" s="80"/>
      <c r="K36" s="80"/>
      <c r="L36" s="80"/>
      <c r="M36" s="80"/>
      <c r="N36" s="80"/>
      <c r="O36" s="80"/>
      <c r="P36" s="81"/>
    </row>
    <row r="37" spans="1:16" x14ac:dyDescent="0.15">
      <c r="A37" s="5"/>
      <c r="B37" s="5"/>
      <c r="C37" s="100"/>
      <c r="D37" s="81"/>
      <c r="E37" s="80"/>
      <c r="F37" s="80"/>
      <c r="G37" s="80"/>
      <c r="H37" s="80"/>
      <c r="I37" s="80"/>
      <c r="J37" s="80"/>
      <c r="K37" s="80"/>
      <c r="L37" s="80"/>
      <c r="M37" s="80"/>
      <c r="N37" s="80"/>
      <c r="O37" s="80"/>
      <c r="P37" s="81"/>
    </row>
    <row r="38" spans="1:16" x14ac:dyDescent="0.15">
      <c r="A38" s="5"/>
      <c r="B38" s="5"/>
      <c r="C38" s="100"/>
      <c r="D38" s="81"/>
      <c r="E38" s="80"/>
      <c r="F38" s="80"/>
      <c r="G38" s="80"/>
      <c r="H38" s="80"/>
      <c r="I38" s="80"/>
      <c r="J38" s="80"/>
      <c r="K38" s="80"/>
      <c r="L38" s="80"/>
      <c r="M38" s="80"/>
      <c r="N38" s="80"/>
      <c r="O38" s="80"/>
      <c r="P38" s="81"/>
    </row>
    <row r="39" spans="1:16" x14ac:dyDescent="0.15">
      <c r="A39" s="5"/>
      <c r="B39" s="5"/>
      <c r="C39" s="100"/>
      <c r="D39" s="81"/>
      <c r="E39" s="80"/>
      <c r="F39" s="80"/>
      <c r="G39" s="80"/>
      <c r="H39" s="80"/>
      <c r="I39" s="80"/>
      <c r="J39" s="80"/>
      <c r="K39" s="80"/>
      <c r="L39" s="80"/>
      <c r="M39" s="80"/>
      <c r="N39" s="80"/>
      <c r="O39" s="80"/>
      <c r="P39" s="81"/>
    </row>
    <row r="40" spans="1:16" x14ac:dyDescent="0.15">
      <c r="A40" s="5"/>
      <c r="B40" s="5"/>
      <c r="C40" s="100"/>
      <c r="D40" s="81"/>
      <c r="E40" s="80"/>
      <c r="F40" s="80"/>
      <c r="G40" s="80"/>
      <c r="H40" s="80"/>
      <c r="I40" s="80"/>
      <c r="J40" s="80"/>
      <c r="K40" s="80"/>
      <c r="L40" s="80"/>
      <c r="M40" s="80"/>
      <c r="N40" s="80"/>
      <c r="O40" s="80"/>
      <c r="P40" s="81"/>
    </row>
    <row r="41" spans="1:16" x14ac:dyDescent="0.15">
      <c r="A41" s="82"/>
      <c r="B41" s="5"/>
      <c r="C41" s="100"/>
      <c r="D41" s="81"/>
      <c r="E41" s="80"/>
      <c r="F41" s="80"/>
      <c r="G41" s="80"/>
      <c r="H41" s="88"/>
      <c r="I41" s="88"/>
      <c r="J41" s="88"/>
      <c r="K41" s="88"/>
      <c r="L41" s="88"/>
      <c r="M41" s="88"/>
      <c r="N41" s="88"/>
      <c r="O41" s="88"/>
      <c r="P41" s="89"/>
    </row>
    <row r="42" spans="1:16" x14ac:dyDescent="0.15">
      <c r="A42" s="9"/>
      <c r="B42" s="5"/>
      <c r="C42" s="100"/>
      <c r="D42" s="81"/>
      <c r="E42" s="80"/>
      <c r="F42" s="80"/>
      <c r="G42" s="80"/>
      <c r="H42" s="46"/>
      <c r="I42" s="46"/>
      <c r="J42" s="46"/>
      <c r="K42" s="46"/>
      <c r="L42" s="46"/>
      <c r="M42" s="46"/>
      <c r="N42" s="46"/>
      <c r="O42" s="46"/>
      <c r="P42" s="46"/>
    </row>
    <row r="43" spans="1:16" x14ac:dyDescent="0.15">
      <c r="A43" s="82"/>
      <c r="B43" s="5"/>
      <c r="C43" s="100"/>
      <c r="D43" s="81"/>
      <c r="E43" s="80"/>
      <c r="F43" s="80"/>
      <c r="G43" s="80"/>
      <c r="H43" s="90"/>
      <c r="I43" s="90"/>
      <c r="J43" s="90"/>
      <c r="K43" s="90"/>
      <c r="L43" s="90"/>
      <c r="M43" s="90"/>
      <c r="N43" s="90"/>
      <c r="O43" s="90"/>
      <c r="P43" s="91"/>
    </row>
    <row r="44" spans="1:16" x14ac:dyDescent="0.15">
      <c r="B44" s="5"/>
      <c r="C44" s="100"/>
      <c r="D44" s="81"/>
      <c r="E44" s="80"/>
      <c r="F44" s="80"/>
      <c r="G44" s="80"/>
    </row>
    <row r="45" spans="1:16" x14ac:dyDescent="0.15">
      <c r="B45" s="82"/>
      <c r="C45" s="101"/>
      <c r="D45" s="89"/>
      <c r="E45" s="88"/>
      <c r="F45" s="88"/>
      <c r="G45" s="88"/>
    </row>
    <row r="46" spans="1:16" x14ac:dyDescent="0.15">
      <c r="B46" s="9"/>
      <c r="C46" s="98"/>
      <c r="D46" s="46"/>
      <c r="E46" s="5"/>
      <c r="F46" s="5"/>
      <c r="G46" s="46"/>
    </row>
    <row r="47" spans="1:16" x14ac:dyDescent="0.15">
      <c r="B47" s="82"/>
      <c r="C47" s="102"/>
      <c r="D47" s="91"/>
      <c r="E47" s="90"/>
      <c r="F47" s="90"/>
      <c r="G47" s="90"/>
    </row>
  </sheetData>
  <sheetProtection password="CC3D" sheet="1" objects="1" scenarios="1" formatColumns="0" formatRows="0"/>
  <mergeCells count="2">
    <mergeCell ref="C4:D4"/>
    <mergeCell ref="C5:D5"/>
  </mergeCells>
  <phoneticPr fontId="3" type="noConversion"/>
  <pageMargins left="0.7" right="0.7" top="0.75" bottom="0.75" header="0.3" footer="0.3"/>
  <pageSetup orientation="landscape" r:id="rId1"/>
  <headerFooter scaleWithDoc="0">
    <oddHeader>&amp;C&amp;"Gill Sans MT,Regular"&amp;12Payroll Years 1-3</oddHeader>
    <oddFooter>&amp;L&amp;F&amp;C&amp;A&amp;R&amp;D &amp;T</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rgb="FFFFC95B"/>
    <pageSetUpPr fitToPage="1"/>
  </sheetPr>
  <dimension ref="B2:Q60"/>
  <sheetViews>
    <sheetView topLeftCell="A2" zoomScale="211" zoomScaleNormal="100" zoomScalePageLayoutView="50" workbookViewId="0">
      <selection activeCell="D9" sqref="D9"/>
    </sheetView>
  </sheetViews>
  <sheetFormatPr baseColWidth="10" defaultColWidth="8.83203125" defaultRowHeight="12" x14ac:dyDescent="0.15"/>
  <cols>
    <col min="1" max="1" width="8.1640625" style="46" customWidth="1"/>
    <col min="2" max="2" width="28.33203125" style="46" bestFit="1" customWidth="1"/>
    <col min="3" max="3" width="17.5" style="46" bestFit="1" customWidth="1"/>
    <col min="4" max="4" width="12.5" style="46" bestFit="1" customWidth="1"/>
    <col min="5" max="5" width="11.33203125" style="46" bestFit="1" customWidth="1"/>
    <col min="6" max="6" width="18.33203125" style="46" bestFit="1" customWidth="1"/>
    <col min="7" max="10" width="10.33203125" style="46" bestFit="1" customWidth="1"/>
    <col min="11" max="11" width="11.83203125" style="46" bestFit="1" customWidth="1"/>
    <col min="12" max="12" width="10.33203125" style="46" bestFit="1" customWidth="1"/>
    <col min="13" max="14" width="11.1640625" style="46" bestFit="1" customWidth="1"/>
    <col min="15" max="15" width="16.33203125" style="46" bestFit="1" customWidth="1"/>
    <col min="16" max="16" width="12" style="46" bestFit="1" customWidth="1"/>
    <col min="17" max="17" width="13.6640625" style="46" bestFit="1" customWidth="1"/>
    <col min="18" max="16384" width="8.83203125" style="46"/>
  </cols>
  <sheetData>
    <row r="2" spans="2:17" x14ac:dyDescent="0.15">
      <c r="B2" s="504" t="s">
        <v>355</v>
      </c>
      <c r="C2" s="504"/>
      <c r="D2" s="58" t="s">
        <v>356</v>
      </c>
      <c r="E2" s="75" t="s">
        <v>357</v>
      </c>
      <c r="F2" s="46" t="s">
        <v>358</v>
      </c>
    </row>
    <row r="3" spans="2:17" x14ac:dyDescent="0.15">
      <c r="B3" s="56" t="s">
        <v>359</v>
      </c>
      <c r="C3" s="471">
        <v>0.1</v>
      </c>
      <c r="D3" s="471">
        <v>0.06</v>
      </c>
      <c r="E3" s="471">
        <v>0.04</v>
      </c>
      <c r="F3" s="471">
        <v>0.03</v>
      </c>
      <c r="H3" s="469"/>
    </row>
    <row r="4" spans="2:17" x14ac:dyDescent="0.15">
      <c r="B4" s="58" t="s">
        <v>130</v>
      </c>
      <c r="C4" s="58" t="s">
        <v>131</v>
      </c>
      <c r="D4" s="56"/>
    </row>
    <row r="5" spans="2:17" ht="18" customHeight="1" x14ac:dyDescent="0.15">
      <c r="B5" s="5" t="str">
        <f>IF(ISBLANK(Directions!C10), "Owner", Directions!C10)</f>
        <v>Dave Johnson</v>
      </c>
      <c r="C5" s="502" t="str">
        <f>IF(ISBLANK(Directions!D10), "Company 1", Directions!D10)</f>
        <v>Dave's Famous Pretzels</v>
      </c>
      <c r="D5" s="502"/>
    </row>
    <row r="6" spans="2:17" x14ac:dyDescent="0.15">
      <c r="D6" s="103"/>
    </row>
    <row r="7" spans="2:17" ht="13" thickBot="1" x14ac:dyDescent="0.2">
      <c r="B7" s="505" t="s">
        <v>82</v>
      </c>
      <c r="C7" s="505"/>
      <c r="D7" s="505"/>
      <c r="E7" s="505"/>
      <c r="F7" s="7"/>
    </row>
    <row r="8" spans="2:17" ht="45" customHeight="1" thickTop="1" x14ac:dyDescent="0.15">
      <c r="B8" s="337" t="s">
        <v>212</v>
      </c>
      <c r="C8" s="337" t="s">
        <v>303</v>
      </c>
      <c r="D8" s="347" t="s">
        <v>213</v>
      </c>
      <c r="E8" s="348" t="s">
        <v>106</v>
      </c>
      <c r="F8" s="68" t="s">
        <v>215</v>
      </c>
      <c r="G8" s="318"/>
      <c r="H8" s="317"/>
      <c r="I8" s="317"/>
      <c r="J8" s="317"/>
    </row>
    <row r="9" spans="2:17" x14ac:dyDescent="0.15">
      <c r="B9" s="133" t="s">
        <v>365</v>
      </c>
      <c r="C9" s="133">
        <v>10000</v>
      </c>
      <c r="D9" s="134">
        <v>7</v>
      </c>
      <c r="E9" s="135">
        <v>1.5</v>
      </c>
      <c r="F9" s="436">
        <f>D9-E9</f>
        <v>5.5</v>
      </c>
      <c r="G9" s="104"/>
      <c r="H9" s="317"/>
      <c r="I9" s="317"/>
      <c r="J9" s="317"/>
    </row>
    <row r="10" spans="2:17" x14ac:dyDescent="0.15">
      <c r="B10" s="133" t="s">
        <v>366</v>
      </c>
      <c r="C10" s="133">
        <v>7500</v>
      </c>
      <c r="D10" s="134">
        <v>4</v>
      </c>
      <c r="E10" s="135">
        <v>0.72</v>
      </c>
      <c r="F10" s="436">
        <f t="shared" ref="F10:F14" si="0">D10-E10</f>
        <v>3.2800000000000002</v>
      </c>
      <c r="G10" s="104"/>
      <c r="H10" s="104"/>
    </row>
    <row r="11" spans="2:17" x14ac:dyDescent="0.15">
      <c r="B11" s="133" t="s">
        <v>367</v>
      </c>
      <c r="C11" s="133">
        <v>5000</v>
      </c>
      <c r="D11" s="134">
        <v>2.5</v>
      </c>
      <c r="E11" s="135">
        <v>0.5</v>
      </c>
      <c r="F11" s="436">
        <f t="shared" si="0"/>
        <v>2</v>
      </c>
      <c r="G11" s="104"/>
      <c r="H11" s="104"/>
    </row>
    <row r="12" spans="2:17" x14ac:dyDescent="0.15">
      <c r="B12" s="133" t="s">
        <v>368</v>
      </c>
      <c r="C12" s="133"/>
      <c r="D12" s="134"/>
      <c r="E12" s="135"/>
      <c r="F12" s="436">
        <f t="shared" si="0"/>
        <v>0</v>
      </c>
      <c r="G12" s="104"/>
      <c r="H12" s="104"/>
    </row>
    <row r="13" spans="2:17" x14ac:dyDescent="0.15">
      <c r="B13" s="133" t="s">
        <v>368</v>
      </c>
      <c r="C13" s="133"/>
      <c r="D13" s="134"/>
      <c r="E13" s="135"/>
      <c r="F13" s="436">
        <f t="shared" si="0"/>
        <v>0</v>
      </c>
      <c r="G13" s="104"/>
      <c r="H13" s="104"/>
    </row>
    <row r="14" spans="2:17" x14ac:dyDescent="0.15">
      <c r="B14" s="133" t="s">
        <v>368</v>
      </c>
      <c r="C14" s="133"/>
      <c r="D14" s="134"/>
      <c r="E14" s="135"/>
      <c r="F14" s="436">
        <f t="shared" si="0"/>
        <v>0</v>
      </c>
      <c r="G14" s="104"/>
      <c r="H14" s="104"/>
    </row>
    <row r="15" spans="2:17" x14ac:dyDescent="0.15">
      <c r="C15" s="503"/>
      <c r="D15" s="503"/>
      <c r="E15" s="503"/>
      <c r="F15" s="503"/>
      <c r="G15" s="503"/>
      <c r="H15" s="503"/>
      <c r="I15" s="503"/>
      <c r="J15" s="503"/>
      <c r="K15" s="503"/>
      <c r="L15" s="503"/>
      <c r="M15" s="503"/>
      <c r="N15" s="503"/>
    </row>
    <row r="16" spans="2:17" ht="27" thickBot="1" x14ac:dyDescent="0.2">
      <c r="B16" s="345" t="s">
        <v>212</v>
      </c>
      <c r="C16" s="345" t="str">
        <f>'2a-PayrollYear1'!F7</f>
        <v>January</v>
      </c>
      <c r="D16" s="345" t="str">
        <f>'2a-PayrollYear1'!G7</f>
        <v>February</v>
      </c>
      <c r="E16" s="345" t="str">
        <f>'2a-PayrollYear1'!H7</f>
        <v>March</v>
      </c>
      <c r="F16" s="345" t="str">
        <f>'2a-PayrollYear1'!I7</f>
        <v>April</v>
      </c>
      <c r="G16" s="345" t="str">
        <f>'2a-PayrollYear1'!J7</f>
        <v>May</v>
      </c>
      <c r="H16" s="345" t="str">
        <f>'2a-PayrollYear1'!K7</f>
        <v>June</v>
      </c>
      <c r="I16" s="345" t="str">
        <f>'2a-PayrollYear1'!L7</f>
        <v>July</v>
      </c>
      <c r="J16" s="345" t="str">
        <f>'2a-PayrollYear1'!M7</f>
        <v>August</v>
      </c>
      <c r="K16" s="345" t="str">
        <f>'2a-PayrollYear1'!N7</f>
        <v>September</v>
      </c>
      <c r="L16" s="345" t="str">
        <f>'2a-PayrollYear1'!O7</f>
        <v>October</v>
      </c>
      <c r="M16" s="345" t="str">
        <f>'2a-PayrollYear1'!P7</f>
        <v>November</v>
      </c>
      <c r="N16" s="345" t="str">
        <f>'2a-PayrollYear1'!Q7</f>
        <v>December</v>
      </c>
      <c r="O16" s="344" t="s">
        <v>81</v>
      </c>
      <c r="P16" s="344" t="s">
        <v>216</v>
      </c>
      <c r="Q16" s="344" t="s">
        <v>111</v>
      </c>
    </row>
    <row r="17" spans="2:17" ht="13" thickTop="1" x14ac:dyDescent="0.15">
      <c r="B17" s="117" t="str">
        <f>IF(ISBLANK(B9), "Product 1", B9)</f>
        <v>Pretzels</v>
      </c>
      <c r="C17" s="331"/>
      <c r="D17" s="331"/>
      <c r="E17" s="331"/>
      <c r="F17" s="331"/>
      <c r="G17" s="331"/>
      <c r="H17" s="331"/>
      <c r="I17" s="331"/>
      <c r="J17" s="331"/>
      <c r="K17" s="331"/>
      <c r="L17" s="331"/>
      <c r="M17" s="331"/>
      <c r="N17" s="331"/>
      <c r="O17" s="119"/>
      <c r="P17" s="322"/>
      <c r="Q17" s="119"/>
    </row>
    <row r="18" spans="2:17" x14ac:dyDescent="0.15">
      <c r="B18" s="107" t="str">
        <f>IF(ISBLANK(C9), "Units Sold", Unit1&amp; " Sold")</f>
        <v>10000 Sold</v>
      </c>
      <c r="C18" s="138">
        <v>600</v>
      </c>
      <c r="D18" s="138">
        <f>C18+C18*$C$3</f>
        <v>660</v>
      </c>
      <c r="E18" s="138">
        <f t="shared" ref="E18" si="1">D18+D18*$C$3</f>
        <v>726</v>
      </c>
      <c r="F18" s="138">
        <f>E18+E18*$D$3</f>
        <v>769.56</v>
      </c>
      <c r="G18" s="138">
        <f t="shared" ref="G18:H18" si="2">F18+F18*$D$3</f>
        <v>815.73359999999991</v>
      </c>
      <c r="H18" s="138">
        <f t="shared" si="2"/>
        <v>864.67761599999994</v>
      </c>
      <c r="I18" s="138">
        <f>H18+H18*$E$3</f>
        <v>899.26472063999995</v>
      </c>
      <c r="J18" s="138">
        <f t="shared" ref="J18:K18" si="3">I18+I18*$E$3</f>
        <v>935.23530946559993</v>
      </c>
      <c r="K18" s="138">
        <f t="shared" si="3"/>
        <v>972.64472184422391</v>
      </c>
      <c r="L18" s="138">
        <f>K18+K18*$F$3</f>
        <v>1001.8240634995507</v>
      </c>
      <c r="M18" s="138">
        <f t="shared" ref="M18:N18" si="4">L18+L18*$F$3</f>
        <v>1031.8787854045372</v>
      </c>
      <c r="N18" s="138">
        <f t="shared" si="4"/>
        <v>1062.8351489666734</v>
      </c>
      <c r="O18" s="297">
        <f>SUM(C18:N18)</f>
        <v>10339.653965820584</v>
      </c>
      <c r="P18" s="7"/>
      <c r="Q18" s="289">
        <f>IF($O$52=0,0,O18/$O$52)</f>
        <v>0.45045045045045046</v>
      </c>
    </row>
    <row r="19" spans="2:17" x14ac:dyDescent="0.15">
      <c r="B19" s="110" t="s">
        <v>109</v>
      </c>
      <c r="C19" s="291">
        <f>$D$9*C18</f>
        <v>4200</v>
      </c>
      <c r="D19" s="291">
        <f t="shared" ref="D19:N19" si="5">$D$9*D18</f>
        <v>4620</v>
      </c>
      <c r="E19" s="291">
        <f t="shared" si="5"/>
        <v>5082</v>
      </c>
      <c r="F19" s="291">
        <f t="shared" si="5"/>
        <v>5386.92</v>
      </c>
      <c r="G19" s="291">
        <f t="shared" si="5"/>
        <v>5710.1351999999997</v>
      </c>
      <c r="H19" s="291">
        <f t="shared" si="5"/>
        <v>6052.7433119999996</v>
      </c>
      <c r="I19" s="291">
        <f t="shared" si="5"/>
        <v>6294.8530444799999</v>
      </c>
      <c r="J19" s="291">
        <f t="shared" si="5"/>
        <v>6546.6471662591994</v>
      </c>
      <c r="K19" s="291">
        <f t="shared" si="5"/>
        <v>6808.5130529095677</v>
      </c>
      <c r="L19" s="291">
        <f t="shared" si="5"/>
        <v>7012.7684444968545</v>
      </c>
      <c r="M19" s="291">
        <f t="shared" si="5"/>
        <v>7223.1514978317609</v>
      </c>
      <c r="N19" s="291">
        <f t="shared" si="5"/>
        <v>7439.8460427667142</v>
      </c>
      <c r="O19" s="111">
        <f>SUM(C19:N19)</f>
        <v>72377.577760744098</v>
      </c>
      <c r="P19" s="290">
        <f>(P20+P21)</f>
        <v>1</v>
      </c>
      <c r="Q19" s="289">
        <f>IF($O$53=0,0,O19/$O$53)</f>
        <v>0.62822526363024467</v>
      </c>
    </row>
    <row r="20" spans="2:17" x14ac:dyDescent="0.15">
      <c r="B20" s="110" t="s">
        <v>214</v>
      </c>
      <c r="C20" s="291">
        <f>$E$9*C18</f>
        <v>900</v>
      </c>
      <c r="D20" s="291">
        <f t="shared" ref="D20:N20" si="6">$E$9*D18</f>
        <v>990</v>
      </c>
      <c r="E20" s="291">
        <f t="shared" si="6"/>
        <v>1089</v>
      </c>
      <c r="F20" s="291">
        <f t="shared" si="6"/>
        <v>1154.3399999999999</v>
      </c>
      <c r="G20" s="291">
        <f t="shared" si="6"/>
        <v>1223.6003999999998</v>
      </c>
      <c r="H20" s="291">
        <f t="shared" si="6"/>
        <v>1297.0164239999999</v>
      </c>
      <c r="I20" s="291">
        <f t="shared" si="6"/>
        <v>1348.89708096</v>
      </c>
      <c r="J20" s="291">
        <f t="shared" si="6"/>
        <v>1402.8529641983998</v>
      </c>
      <c r="K20" s="291">
        <f t="shared" si="6"/>
        <v>1458.9670827663358</v>
      </c>
      <c r="L20" s="291">
        <f t="shared" si="6"/>
        <v>1502.7360952493259</v>
      </c>
      <c r="M20" s="291">
        <f t="shared" si="6"/>
        <v>1547.8181781068058</v>
      </c>
      <c r="N20" s="291">
        <f t="shared" si="6"/>
        <v>1594.2527234500101</v>
      </c>
      <c r="O20" s="111">
        <f>SUM(C20:N20)</f>
        <v>15509.480948730876</v>
      </c>
      <c r="P20" s="290">
        <f>IF(O19=0,0,O20/O19)</f>
        <v>0.21428571428571425</v>
      </c>
      <c r="Q20" s="289">
        <f>IF($O$54=0,0,O20/$O$54)</f>
        <v>0.66072503560573803</v>
      </c>
    </row>
    <row r="21" spans="2:17" x14ac:dyDescent="0.15">
      <c r="B21" s="112" t="s">
        <v>110</v>
      </c>
      <c r="C21" s="292">
        <f>C19-C20</f>
        <v>3300</v>
      </c>
      <c r="D21" s="292">
        <f t="shared" ref="D21:N21" si="7">D19-D20</f>
        <v>3630</v>
      </c>
      <c r="E21" s="292">
        <f t="shared" si="7"/>
        <v>3993</v>
      </c>
      <c r="F21" s="292">
        <f t="shared" si="7"/>
        <v>4232.58</v>
      </c>
      <c r="G21" s="292">
        <f t="shared" si="7"/>
        <v>4486.5347999999994</v>
      </c>
      <c r="H21" s="292">
        <f t="shared" si="7"/>
        <v>4755.7268879999992</v>
      </c>
      <c r="I21" s="292">
        <f t="shared" si="7"/>
        <v>4945.9559635200003</v>
      </c>
      <c r="J21" s="292">
        <f t="shared" si="7"/>
        <v>5143.7942020607998</v>
      </c>
      <c r="K21" s="292">
        <f t="shared" si="7"/>
        <v>5349.5459701432319</v>
      </c>
      <c r="L21" s="292">
        <f t="shared" si="7"/>
        <v>5510.0323492475291</v>
      </c>
      <c r="M21" s="292">
        <f t="shared" si="7"/>
        <v>5675.3333197249549</v>
      </c>
      <c r="N21" s="292">
        <f t="shared" si="7"/>
        <v>5845.5933193167039</v>
      </c>
      <c r="O21" s="111">
        <f>SUM(C21:N21)</f>
        <v>56868.096812013217</v>
      </c>
      <c r="P21" s="290">
        <f>IF(O19=0,0,O21/O19)</f>
        <v>0.7857142857142857</v>
      </c>
      <c r="Q21" s="289">
        <f>IF($O$55=0,0,O21/$O$55)</f>
        <v>0.61990923026058731</v>
      </c>
    </row>
    <row r="22" spans="2:17" x14ac:dyDescent="0.15">
      <c r="B22" s="113"/>
      <c r="C22" s="114"/>
      <c r="D22" s="115"/>
      <c r="E22" s="115"/>
      <c r="F22" s="115"/>
      <c r="G22" s="115"/>
      <c r="H22" s="115"/>
      <c r="I22" s="115"/>
      <c r="J22" s="115"/>
      <c r="K22" s="115"/>
      <c r="L22" s="115"/>
      <c r="M22" s="115"/>
      <c r="N22" s="115"/>
      <c r="O22" s="116"/>
      <c r="P22" s="7"/>
      <c r="Q22" s="109"/>
    </row>
    <row r="23" spans="2:17" x14ac:dyDescent="0.15">
      <c r="B23" s="105" t="str">
        <f>IF(ISBLANK(B10), "Product 2", B10)</f>
        <v>Coffee</v>
      </c>
      <c r="C23" s="118"/>
      <c r="D23" s="118"/>
      <c r="E23" s="118"/>
      <c r="F23" s="118"/>
      <c r="G23" s="118"/>
      <c r="H23" s="118"/>
      <c r="I23" s="118"/>
      <c r="J23" s="118"/>
      <c r="K23" s="118"/>
      <c r="L23" s="118"/>
      <c r="M23" s="118"/>
      <c r="N23" s="118"/>
      <c r="O23" s="119"/>
      <c r="P23" s="7"/>
      <c r="Q23" s="109"/>
    </row>
    <row r="24" spans="2:17" x14ac:dyDescent="0.15">
      <c r="B24" s="107" t="str">
        <f>IF(ISBLANK(C10), "Units Sold", Unit2&amp; " Sold")</f>
        <v>7500 Sold</v>
      </c>
      <c r="C24" s="138">
        <v>437</v>
      </c>
      <c r="D24" s="138">
        <f>C24+C24*$C$3</f>
        <v>480.7</v>
      </c>
      <c r="E24" s="138">
        <f t="shared" ref="E24" si="8">D24+D24*$C$3</f>
        <v>528.77</v>
      </c>
      <c r="F24" s="138">
        <f>E24+E24*$D$3</f>
        <v>560.49619999999993</v>
      </c>
      <c r="G24" s="138">
        <f t="shared" ref="G24:H24" si="9">F24+F24*$D$3</f>
        <v>594.12597199999993</v>
      </c>
      <c r="H24" s="138">
        <f t="shared" si="9"/>
        <v>629.77353031999996</v>
      </c>
      <c r="I24" s="138">
        <f>H24+H24*$E$3</f>
        <v>654.96447153279996</v>
      </c>
      <c r="J24" s="138">
        <f t="shared" ref="J24:K24" si="10">I24+I24*$E$3</f>
        <v>681.16305039411191</v>
      </c>
      <c r="K24" s="138">
        <f t="shared" si="10"/>
        <v>708.40957240987643</v>
      </c>
      <c r="L24" s="138">
        <f>K24+K24*$F$3</f>
        <v>729.66185958217272</v>
      </c>
      <c r="M24" s="138">
        <f t="shared" ref="M24:N24" si="11">L24+L24*$F$3</f>
        <v>751.55171536963792</v>
      </c>
      <c r="N24" s="138">
        <f t="shared" si="11"/>
        <v>774.09826683072708</v>
      </c>
      <c r="O24" s="298">
        <f>SUM(C24:N24)</f>
        <v>7530.7146384393254</v>
      </c>
      <c r="P24" s="7"/>
      <c r="Q24" s="289">
        <f>IF($O$52=0,0,O24/$O$52)</f>
        <v>0.32807807807807809</v>
      </c>
    </row>
    <row r="25" spans="2:17" x14ac:dyDescent="0.15">
      <c r="B25" s="120" t="s">
        <v>109</v>
      </c>
      <c r="C25" s="291">
        <f>$D$10*C24</f>
        <v>1748</v>
      </c>
      <c r="D25" s="291">
        <f t="shared" ref="D25:N25" si="12">$D$10*D24</f>
        <v>1922.8</v>
      </c>
      <c r="E25" s="291">
        <f t="shared" si="12"/>
        <v>2115.08</v>
      </c>
      <c r="F25" s="291">
        <f t="shared" si="12"/>
        <v>2241.9847999999997</v>
      </c>
      <c r="G25" s="291">
        <f t="shared" si="12"/>
        <v>2376.5038879999997</v>
      </c>
      <c r="H25" s="291">
        <f t="shared" si="12"/>
        <v>2519.0941212799999</v>
      </c>
      <c r="I25" s="291">
        <f t="shared" si="12"/>
        <v>2619.8578861311998</v>
      </c>
      <c r="J25" s="291">
        <f t="shared" si="12"/>
        <v>2724.6522015764476</v>
      </c>
      <c r="K25" s="291">
        <f t="shared" si="12"/>
        <v>2833.6382896395057</v>
      </c>
      <c r="L25" s="291">
        <f t="shared" si="12"/>
        <v>2918.6474383286909</v>
      </c>
      <c r="M25" s="291">
        <f t="shared" si="12"/>
        <v>3006.2068614785517</v>
      </c>
      <c r="N25" s="291">
        <f t="shared" si="12"/>
        <v>3096.3930673229083</v>
      </c>
      <c r="O25" s="121">
        <f>SUM(C25:N25)</f>
        <v>30122.858553757302</v>
      </c>
      <c r="P25" s="290">
        <f>(P26+P27)</f>
        <v>1</v>
      </c>
      <c r="Q25" s="289">
        <f>IF($O$53=0,0,O25/$O$53)</f>
        <v>0.26146137162515892</v>
      </c>
    </row>
    <row r="26" spans="2:17" x14ac:dyDescent="0.15">
      <c r="B26" s="120" t="s">
        <v>214</v>
      </c>
      <c r="C26" s="291">
        <f>$E$10*C24</f>
        <v>314.64</v>
      </c>
      <c r="D26" s="291">
        <f t="shared" ref="D26:N26" si="13">$E$10*D24</f>
        <v>346.10399999999998</v>
      </c>
      <c r="E26" s="291">
        <f t="shared" si="13"/>
        <v>380.71439999999996</v>
      </c>
      <c r="F26" s="291">
        <f t="shared" si="13"/>
        <v>403.55726399999992</v>
      </c>
      <c r="G26" s="291">
        <f t="shared" si="13"/>
        <v>427.77069983999996</v>
      </c>
      <c r="H26" s="291">
        <f t="shared" si="13"/>
        <v>453.43694183039997</v>
      </c>
      <c r="I26" s="291">
        <f t="shared" si="13"/>
        <v>471.57441950361596</v>
      </c>
      <c r="J26" s="291">
        <f t="shared" si="13"/>
        <v>490.43739628376056</v>
      </c>
      <c r="K26" s="291">
        <f t="shared" si="13"/>
        <v>510.054892135111</v>
      </c>
      <c r="L26" s="291">
        <f t="shared" si="13"/>
        <v>525.35653889916432</v>
      </c>
      <c r="M26" s="291">
        <f t="shared" si="13"/>
        <v>541.1172350661393</v>
      </c>
      <c r="N26" s="291">
        <f t="shared" si="13"/>
        <v>557.35075211812352</v>
      </c>
      <c r="O26" s="121">
        <f>SUM(C26:N26)</f>
        <v>5422.114539676315</v>
      </c>
      <c r="P26" s="290">
        <f>IF(O25=0,0,O26/O25)</f>
        <v>0.18000000000000002</v>
      </c>
      <c r="Q26" s="289">
        <f>IF($O$54=0,0,O26/$O$54)</f>
        <v>0.23098947244776602</v>
      </c>
    </row>
    <row r="27" spans="2:17" x14ac:dyDescent="0.15">
      <c r="B27" s="112" t="s">
        <v>107</v>
      </c>
      <c r="C27" s="292">
        <f>C25-C26</f>
        <v>1433.3600000000001</v>
      </c>
      <c r="D27" s="292">
        <f t="shared" ref="D27:N27" si="14">D25-D26</f>
        <v>1576.6959999999999</v>
      </c>
      <c r="E27" s="292">
        <f t="shared" si="14"/>
        <v>1734.3656000000001</v>
      </c>
      <c r="F27" s="292">
        <f t="shared" si="14"/>
        <v>1838.4275359999997</v>
      </c>
      <c r="G27" s="292">
        <f t="shared" si="14"/>
        <v>1948.7331881599998</v>
      </c>
      <c r="H27" s="292">
        <f t="shared" si="14"/>
        <v>2065.6571794495999</v>
      </c>
      <c r="I27" s="292">
        <f t="shared" si="14"/>
        <v>2148.2834666275839</v>
      </c>
      <c r="J27" s="292">
        <f t="shared" si="14"/>
        <v>2234.2148052926868</v>
      </c>
      <c r="K27" s="292">
        <f t="shared" si="14"/>
        <v>2323.5833975043947</v>
      </c>
      <c r="L27" s="292">
        <f t="shared" si="14"/>
        <v>2393.2908994295267</v>
      </c>
      <c r="M27" s="292">
        <f t="shared" si="14"/>
        <v>2465.0896264124121</v>
      </c>
      <c r="N27" s="292">
        <f t="shared" si="14"/>
        <v>2539.0423152047847</v>
      </c>
      <c r="O27" s="121">
        <f>SUM(C27:N27)</f>
        <v>24700.744014080985</v>
      </c>
      <c r="P27" s="290">
        <f>IF(O25=0,0,O27/O25)</f>
        <v>0.82</v>
      </c>
      <c r="Q27" s="289">
        <f>IF($O$55=0,0,O27/$O$55)</f>
        <v>0.26925851342009549</v>
      </c>
    </row>
    <row r="28" spans="2:17" x14ac:dyDescent="0.15">
      <c r="B28" s="113"/>
      <c r="C28" s="115"/>
      <c r="D28" s="115"/>
      <c r="E28" s="115"/>
      <c r="F28" s="115"/>
      <c r="G28" s="115"/>
      <c r="H28" s="115"/>
      <c r="I28" s="115"/>
      <c r="J28" s="115"/>
      <c r="K28" s="115"/>
      <c r="L28" s="115"/>
      <c r="M28" s="115"/>
      <c r="N28" s="115"/>
      <c r="O28" s="116"/>
      <c r="P28" s="7"/>
      <c r="Q28" s="109"/>
    </row>
    <row r="29" spans="2:17" x14ac:dyDescent="0.15">
      <c r="B29" s="105" t="str">
        <f>IF(ISBLANK(B11), "Product 3", B11)</f>
        <v>Sodas</v>
      </c>
      <c r="C29" s="122"/>
      <c r="D29" s="122"/>
      <c r="E29" s="122"/>
      <c r="F29" s="122"/>
      <c r="G29" s="122"/>
      <c r="H29" s="122"/>
      <c r="I29" s="122"/>
      <c r="J29" s="122"/>
      <c r="K29" s="122"/>
      <c r="L29" s="122"/>
      <c r="M29" s="122"/>
      <c r="N29" s="122"/>
      <c r="O29" s="119"/>
      <c r="P29" s="7"/>
      <c r="Q29" s="109"/>
    </row>
    <row r="30" spans="2:17" x14ac:dyDescent="0.15">
      <c r="B30" s="107" t="str">
        <f>IF(ISBLANK(C11), "Units Sold", Unit3&amp; " Sold")</f>
        <v>5000 Sold</v>
      </c>
      <c r="C30" s="138">
        <v>295</v>
      </c>
      <c r="D30" s="138">
        <f>C30+C30*$C$3</f>
        <v>324.5</v>
      </c>
      <c r="E30" s="138">
        <f t="shared" ref="E30" si="15">D30+D30*$C$3</f>
        <v>356.95</v>
      </c>
      <c r="F30" s="138">
        <f>E30+E30*$D$3</f>
        <v>378.36699999999996</v>
      </c>
      <c r="G30" s="138">
        <f t="shared" ref="G30:H30" si="16">F30+F30*$D$3</f>
        <v>401.06901999999997</v>
      </c>
      <c r="H30" s="138">
        <f t="shared" si="16"/>
        <v>425.13316119999996</v>
      </c>
      <c r="I30" s="138">
        <f>H30+H30*$E$3</f>
        <v>442.13848764799997</v>
      </c>
      <c r="J30" s="138">
        <f t="shared" ref="J30:K30" si="17">I30+I30*$E$3</f>
        <v>459.82402715391999</v>
      </c>
      <c r="K30" s="138">
        <f t="shared" si="17"/>
        <v>478.21698824007677</v>
      </c>
      <c r="L30" s="138">
        <f>K30+K30*$F$3</f>
        <v>492.56349788727908</v>
      </c>
      <c r="M30" s="138">
        <f t="shared" ref="M30:N30" si="18">L30+L30*$F$3</f>
        <v>507.34040282389748</v>
      </c>
      <c r="N30" s="138">
        <f t="shared" si="18"/>
        <v>522.56061490861441</v>
      </c>
      <c r="O30" s="298">
        <f>SUM(C30:N30)</f>
        <v>5083.6631998617877</v>
      </c>
      <c r="P30" s="7"/>
      <c r="Q30" s="289">
        <f>IF($O$52=0,0,O30/$O$52)</f>
        <v>0.2214714714714715</v>
      </c>
    </row>
    <row r="31" spans="2:17" x14ac:dyDescent="0.15">
      <c r="B31" s="120" t="s">
        <v>109</v>
      </c>
      <c r="C31" s="293">
        <f>$D$11*C30</f>
        <v>737.5</v>
      </c>
      <c r="D31" s="293">
        <f t="shared" ref="D31:N31" si="19">$D$11*D30</f>
        <v>811.25</v>
      </c>
      <c r="E31" s="293">
        <f t="shared" si="19"/>
        <v>892.375</v>
      </c>
      <c r="F31" s="293">
        <f t="shared" si="19"/>
        <v>945.9174999999999</v>
      </c>
      <c r="G31" s="293">
        <f t="shared" si="19"/>
        <v>1002.6725499999999</v>
      </c>
      <c r="H31" s="293">
        <f t="shared" si="19"/>
        <v>1062.832903</v>
      </c>
      <c r="I31" s="293">
        <f t="shared" si="19"/>
        <v>1105.3462191199999</v>
      </c>
      <c r="J31" s="293">
        <f t="shared" si="19"/>
        <v>1149.5600678848</v>
      </c>
      <c r="K31" s="293">
        <f t="shared" si="19"/>
        <v>1195.542470600192</v>
      </c>
      <c r="L31" s="293">
        <f t="shared" si="19"/>
        <v>1231.4087447181978</v>
      </c>
      <c r="M31" s="293">
        <f t="shared" si="19"/>
        <v>1268.3510070597438</v>
      </c>
      <c r="N31" s="293">
        <f t="shared" si="19"/>
        <v>1306.401537271536</v>
      </c>
      <c r="O31" s="121">
        <f>SUM(C31:N31)</f>
        <v>12709.15799965447</v>
      </c>
      <c r="P31" s="290">
        <f>(P32+P33)</f>
        <v>0.99999999999999989</v>
      </c>
      <c r="Q31" s="289">
        <f>IF($O$53=0,0,O31/$O$53)</f>
        <v>0.11031336474459653</v>
      </c>
    </row>
    <row r="32" spans="2:17" x14ac:dyDescent="0.15">
      <c r="B32" s="120" t="s">
        <v>214</v>
      </c>
      <c r="C32" s="293">
        <f>$E$11*C30</f>
        <v>147.5</v>
      </c>
      <c r="D32" s="293">
        <f t="shared" ref="D32:N32" si="20">$E$11*D30</f>
        <v>162.25</v>
      </c>
      <c r="E32" s="293">
        <f t="shared" si="20"/>
        <v>178.47499999999999</v>
      </c>
      <c r="F32" s="293">
        <f t="shared" si="20"/>
        <v>189.18349999999998</v>
      </c>
      <c r="G32" s="293">
        <f t="shared" si="20"/>
        <v>200.53450999999998</v>
      </c>
      <c r="H32" s="293">
        <f t="shared" si="20"/>
        <v>212.56658059999998</v>
      </c>
      <c r="I32" s="293">
        <f t="shared" si="20"/>
        <v>221.06924382399998</v>
      </c>
      <c r="J32" s="293">
        <f t="shared" si="20"/>
        <v>229.91201357695999</v>
      </c>
      <c r="K32" s="293">
        <f t="shared" si="20"/>
        <v>239.10849412003839</v>
      </c>
      <c r="L32" s="293">
        <f t="shared" si="20"/>
        <v>246.28174894363954</v>
      </c>
      <c r="M32" s="293">
        <f t="shared" si="20"/>
        <v>253.67020141194874</v>
      </c>
      <c r="N32" s="293">
        <f t="shared" si="20"/>
        <v>261.28030745430721</v>
      </c>
      <c r="O32" s="121">
        <f>SUM(C32:N32)</f>
        <v>2541.8315999308938</v>
      </c>
      <c r="P32" s="290">
        <f>IF(O31=0,0,O32/O31)</f>
        <v>0.19999999999999998</v>
      </c>
      <c r="Q32" s="289">
        <f>IF($O$54=0,0,O32/$O$54)</f>
        <v>0.10828549194649596</v>
      </c>
    </row>
    <row r="33" spans="2:17" x14ac:dyDescent="0.15">
      <c r="B33" s="112" t="s">
        <v>107</v>
      </c>
      <c r="C33" s="292">
        <f>C31-C32</f>
        <v>590</v>
      </c>
      <c r="D33" s="292">
        <f t="shared" ref="D33:N33" si="21">D31-D32</f>
        <v>649</v>
      </c>
      <c r="E33" s="292">
        <f t="shared" si="21"/>
        <v>713.9</v>
      </c>
      <c r="F33" s="292">
        <f t="shared" si="21"/>
        <v>756.73399999999992</v>
      </c>
      <c r="G33" s="292">
        <f t="shared" si="21"/>
        <v>802.13803999999993</v>
      </c>
      <c r="H33" s="292">
        <f t="shared" si="21"/>
        <v>850.26632240000004</v>
      </c>
      <c r="I33" s="292">
        <f t="shared" si="21"/>
        <v>884.27697529599993</v>
      </c>
      <c r="J33" s="292">
        <f t="shared" si="21"/>
        <v>919.64805430783997</v>
      </c>
      <c r="K33" s="292">
        <f t="shared" si="21"/>
        <v>956.43397648015366</v>
      </c>
      <c r="L33" s="292">
        <f t="shared" si="21"/>
        <v>985.12699577455828</v>
      </c>
      <c r="M33" s="292">
        <f t="shared" si="21"/>
        <v>1014.6808056477951</v>
      </c>
      <c r="N33" s="292">
        <f t="shared" si="21"/>
        <v>1045.1212298172288</v>
      </c>
      <c r="O33" s="121">
        <f>SUM(C33:N33)</f>
        <v>10167.326399723575</v>
      </c>
      <c r="P33" s="290">
        <f>IF(O31=0,0,O33/O31)</f>
        <v>0.79999999999999993</v>
      </c>
      <c r="Q33" s="289">
        <f>IF($O$55=0,0,O33/$O$55)</f>
        <v>0.11083225631931712</v>
      </c>
    </row>
    <row r="34" spans="2:17" x14ac:dyDescent="0.15">
      <c r="B34" s="123"/>
      <c r="C34" s="115"/>
      <c r="D34" s="115"/>
      <c r="E34" s="115"/>
      <c r="F34" s="115"/>
      <c r="G34" s="115"/>
      <c r="H34" s="115"/>
      <c r="I34" s="115"/>
      <c r="J34" s="115"/>
      <c r="K34" s="115"/>
      <c r="L34" s="115"/>
      <c r="M34" s="115"/>
      <c r="N34" s="115"/>
      <c r="O34" s="116"/>
      <c r="P34" s="7"/>
      <c r="Q34" s="109"/>
    </row>
    <row r="35" spans="2:17" x14ac:dyDescent="0.15">
      <c r="B35" s="105" t="str">
        <f>IF(ISBLANK(B12), "Product 4", B12)</f>
        <v xml:space="preserve"> </v>
      </c>
      <c r="C35" s="118"/>
      <c r="D35" s="118"/>
      <c r="E35" s="118"/>
      <c r="F35" s="118"/>
      <c r="G35" s="118"/>
      <c r="H35" s="118"/>
      <c r="I35" s="118"/>
      <c r="J35" s="118"/>
      <c r="K35" s="118"/>
      <c r="L35" s="118"/>
      <c r="M35" s="118"/>
      <c r="N35" s="118"/>
      <c r="O35" s="119"/>
      <c r="P35" s="7"/>
      <c r="Q35" s="109"/>
    </row>
    <row r="36" spans="2:17" x14ac:dyDescent="0.15">
      <c r="B36" s="107" t="str">
        <f>IF(ISBLANK(C12), "Units Sold", Unit4&amp; " Sold")</f>
        <v>Units Sold</v>
      </c>
      <c r="C36" s="139"/>
      <c r="D36" s="138">
        <f>C36+C36*$C$3</f>
        <v>0</v>
      </c>
      <c r="E36" s="138">
        <f t="shared" ref="E36" si="22">D36+D36*$C$3</f>
        <v>0</v>
      </c>
      <c r="F36" s="138">
        <f>E36+E36*$D$3</f>
        <v>0</v>
      </c>
      <c r="G36" s="138">
        <f t="shared" ref="G36:H36" si="23">F36+F36*$D$3</f>
        <v>0</v>
      </c>
      <c r="H36" s="138">
        <f t="shared" si="23"/>
        <v>0</v>
      </c>
      <c r="I36" s="138">
        <f>H36+H36*$E$3</f>
        <v>0</v>
      </c>
      <c r="J36" s="138">
        <f t="shared" ref="J36:K36" si="24">I36+I36*$E$3</f>
        <v>0</v>
      </c>
      <c r="K36" s="138">
        <f t="shared" si="24"/>
        <v>0</v>
      </c>
      <c r="L36" s="138">
        <f>K36+K36*$F$3</f>
        <v>0</v>
      </c>
      <c r="M36" s="138">
        <f t="shared" ref="M36:N36" si="25">L36+L36*$F$3</f>
        <v>0</v>
      </c>
      <c r="N36" s="138">
        <f t="shared" si="25"/>
        <v>0</v>
      </c>
      <c r="O36" s="298">
        <f>SUM(C36:N36)</f>
        <v>0</v>
      </c>
      <c r="P36" s="7"/>
      <c r="Q36" s="289">
        <f>IF($O$52=0,0,O36/$O$52)</f>
        <v>0</v>
      </c>
    </row>
    <row r="37" spans="2:17" x14ac:dyDescent="0.15">
      <c r="B37" s="120" t="s">
        <v>109</v>
      </c>
      <c r="C37" s="293">
        <f>$D$12*C36</f>
        <v>0</v>
      </c>
      <c r="D37" s="293">
        <f t="shared" ref="D37:N37" si="26">$D$12*D36</f>
        <v>0</v>
      </c>
      <c r="E37" s="293">
        <f t="shared" si="26"/>
        <v>0</v>
      </c>
      <c r="F37" s="293">
        <f t="shared" si="26"/>
        <v>0</v>
      </c>
      <c r="G37" s="293">
        <f t="shared" si="26"/>
        <v>0</v>
      </c>
      <c r="H37" s="293">
        <f t="shared" si="26"/>
        <v>0</v>
      </c>
      <c r="I37" s="293">
        <f t="shared" si="26"/>
        <v>0</v>
      </c>
      <c r="J37" s="293">
        <f t="shared" si="26"/>
        <v>0</v>
      </c>
      <c r="K37" s="293">
        <f t="shared" si="26"/>
        <v>0</v>
      </c>
      <c r="L37" s="293">
        <f t="shared" si="26"/>
        <v>0</v>
      </c>
      <c r="M37" s="293">
        <f t="shared" si="26"/>
        <v>0</v>
      </c>
      <c r="N37" s="293">
        <f t="shared" si="26"/>
        <v>0</v>
      </c>
      <c r="O37" s="111">
        <f>SUM(C37:N37)</f>
        <v>0</v>
      </c>
      <c r="P37" s="290">
        <f>(P38+P39)</f>
        <v>0</v>
      </c>
      <c r="Q37" s="289">
        <f>IF($O$53=0,0,O37/$O$53)</f>
        <v>0</v>
      </c>
    </row>
    <row r="38" spans="2:17" x14ac:dyDescent="0.15">
      <c r="B38" s="120" t="s">
        <v>214</v>
      </c>
      <c r="C38" s="293">
        <f>$E$12*C36</f>
        <v>0</v>
      </c>
      <c r="D38" s="293">
        <f t="shared" ref="D38:N38" si="27">$E$12*D36</f>
        <v>0</v>
      </c>
      <c r="E38" s="293">
        <f t="shared" si="27"/>
        <v>0</v>
      </c>
      <c r="F38" s="293">
        <f t="shared" si="27"/>
        <v>0</v>
      </c>
      <c r="G38" s="293">
        <f t="shared" si="27"/>
        <v>0</v>
      </c>
      <c r="H38" s="293">
        <f t="shared" si="27"/>
        <v>0</v>
      </c>
      <c r="I38" s="293">
        <f t="shared" si="27"/>
        <v>0</v>
      </c>
      <c r="J38" s="293">
        <f t="shared" si="27"/>
        <v>0</v>
      </c>
      <c r="K38" s="293">
        <f t="shared" si="27"/>
        <v>0</v>
      </c>
      <c r="L38" s="293">
        <f t="shared" si="27"/>
        <v>0</v>
      </c>
      <c r="M38" s="293">
        <f t="shared" si="27"/>
        <v>0</v>
      </c>
      <c r="N38" s="293">
        <f t="shared" si="27"/>
        <v>0</v>
      </c>
      <c r="O38" s="111">
        <f>SUM(C38:N38)</f>
        <v>0</v>
      </c>
      <c r="P38" s="290">
        <f>IF(O37=0,0,O38/O37)</f>
        <v>0</v>
      </c>
      <c r="Q38" s="289">
        <f>IF($O$54=0,0,O38/$O$54)</f>
        <v>0</v>
      </c>
    </row>
    <row r="39" spans="2:17" x14ac:dyDescent="0.15">
      <c r="B39" s="112" t="s">
        <v>107</v>
      </c>
      <c r="C39" s="292">
        <f>C37-C38</f>
        <v>0</v>
      </c>
      <c r="D39" s="292">
        <f t="shared" ref="D39:N39" si="28">D37-D38</f>
        <v>0</v>
      </c>
      <c r="E39" s="292">
        <f t="shared" si="28"/>
        <v>0</v>
      </c>
      <c r="F39" s="292">
        <f t="shared" si="28"/>
        <v>0</v>
      </c>
      <c r="G39" s="292">
        <f t="shared" si="28"/>
        <v>0</v>
      </c>
      <c r="H39" s="292">
        <f t="shared" si="28"/>
        <v>0</v>
      </c>
      <c r="I39" s="292">
        <f t="shared" si="28"/>
        <v>0</v>
      </c>
      <c r="J39" s="292">
        <f t="shared" si="28"/>
        <v>0</v>
      </c>
      <c r="K39" s="292">
        <f t="shared" si="28"/>
        <v>0</v>
      </c>
      <c r="L39" s="292">
        <f t="shared" si="28"/>
        <v>0</v>
      </c>
      <c r="M39" s="292">
        <f t="shared" si="28"/>
        <v>0</v>
      </c>
      <c r="N39" s="292">
        <f t="shared" si="28"/>
        <v>0</v>
      </c>
      <c r="O39" s="111">
        <f>SUM(C39:N39)</f>
        <v>0</v>
      </c>
      <c r="P39" s="290">
        <f>IF(O37=0,0,O39/O37)</f>
        <v>0</v>
      </c>
      <c r="Q39" s="289">
        <f>IF($O$55=0,0,O39/$O$55)</f>
        <v>0</v>
      </c>
    </row>
    <row r="40" spans="2:17" x14ac:dyDescent="0.15">
      <c r="B40" s="123"/>
      <c r="C40" s="115"/>
      <c r="D40" s="115"/>
      <c r="E40" s="115"/>
      <c r="F40" s="124"/>
      <c r="G40" s="124"/>
      <c r="H40" s="124"/>
      <c r="I40" s="124"/>
      <c r="J40" s="124"/>
      <c r="K40" s="124"/>
      <c r="L40" s="124"/>
      <c r="M40" s="124"/>
      <c r="N40" s="124"/>
      <c r="O40" s="108"/>
      <c r="P40" s="7"/>
      <c r="Q40" s="109"/>
    </row>
    <row r="41" spans="2:17" x14ac:dyDescent="0.15">
      <c r="B41" s="105" t="str">
        <f>IF(ISBLANK(B13), "Product 5", B13)</f>
        <v xml:space="preserve"> </v>
      </c>
      <c r="C41" s="122"/>
      <c r="D41" s="122"/>
      <c r="E41" s="122"/>
      <c r="F41" s="122"/>
      <c r="G41" s="122"/>
      <c r="H41" s="122"/>
      <c r="I41" s="122"/>
      <c r="J41" s="122"/>
      <c r="K41" s="122"/>
      <c r="L41" s="122"/>
      <c r="M41" s="122"/>
      <c r="N41" s="122"/>
      <c r="O41" s="119"/>
      <c r="P41" s="7"/>
      <c r="Q41" s="109"/>
    </row>
    <row r="42" spans="2:17" x14ac:dyDescent="0.15">
      <c r="B42" s="107" t="str">
        <f>IF(ISBLANK(C13), "Units Sold", Unit5&amp; " Sold")</f>
        <v>Units Sold</v>
      </c>
      <c r="C42" s="138"/>
      <c r="D42" s="138">
        <f>C42+C42*$C$3</f>
        <v>0</v>
      </c>
      <c r="E42" s="138">
        <f t="shared" ref="E42" si="29">D42+D42*$C$3</f>
        <v>0</v>
      </c>
      <c r="F42" s="138">
        <f>E42+E42*$D$3</f>
        <v>0</v>
      </c>
      <c r="G42" s="138">
        <f t="shared" ref="G42:H42" si="30">F42+F42*$D$3</f>
        <v>0</v>
      </c>
      <c r="H42" s="138">
        <f t="shared" si="30"/>
        <v>0</v>
      </c>
      <c r="I42" s="138">
        <f>H42+H42*$E$3</f>
        <v>0</v>
      </c>
      <c r="J42" s="138">
        <f t="shared" ref="J42:K42" si="31">I42+I42*$E$3</f>
        <v>0</v>
      </c>
      <c r="K42" s="138">
        <f t="shared" si="31"/>
        <v>0</v>
      </c>
      <c r="L42" s="138">
        <f>K42+K42*$F$3</f>
        <v>0</v>
      </c>
      <c r="M42" s="138">
        <f t="shared" ref="M42:N42" si="32">L42+L42*$F$3</f>
        <v>0</v>
      </c>
      <c r="N42" s="138">
        <f t="shared" si="32"/>
        <v>0</v>
      </c>
      <c r="O42" s="297">
        <f>SUM(C42:N42)</f>
        <v>0</v>
      </c>
      <c r="P42" s="7"/>
      <c r="Q42" s="289">
        <f>IF($O$52=0,0,O42/$O$52)</f>
        <v>0</v>
      </c>
    </row>
    <row r="43" spans="2:17" x14ac:dyDescent="0.15">
      <c r="B43" s="120" t="s">
        <v>109</v>
      </c>
      <c r="C43" s="293">
        <f>$D$13*C42</f>
        <v>0</v>
      </c>
      <c r="D43" s="293">
        <f t="shared" ref="D43:N43" si="33">$D$13*D42</f>
        <v>0</v>
      </c>
      <c r="E43" s="293">
        <f t="shared" si="33"/>
        <v>0</v>
      </c>
      <c r="F43" s="293">
        <f t="shared" si="33"/>
        <v>0</v>
      </c>
      <c r="G43" s="293">
        <f t="shared" si="33"/>
        <v>0</v>
      </c>
      <c r="H43" s="293">
        <f t="shared" si="33"/>
        <v>0</v>
      </c>
      <c r="I43" s="293">
        <f t="shared" si="33"/>
        <v>0</v>
      </c>
      <c r="J43" s="293">
        <f t="shared" si="33"/>
        <v>0</v>
      </c>
      <c r="K43" s="293">
        <f t="shared" si="33"/>
        <v>0</v>
      </c>
      <c r="L43" s="293">
        <f t="shared" si="33"/>
        <v>0</v>
      </c>
      <c r="M43" s="293">
        <f t="shared" si="33"/>
        <v>0</v>
      </c>
      <c r="N43" s="293">
        <f t="shared" si="33"/>
        <v>0</v>
      </c>
      <c r="O43" s="111">
        <f>SUM(C43:N43)</f>
        <v>0</v>
      </c>
      <c r="P43" s="290">
        <f>(P44+P45)</f>
        <v>0</v>
      </c>
      <c r="Q43" s="289">
        <f>IF($O$53=0,0,O43/$O$53)</f>
        <v>0</v>
      </c>
    </row>
    <row r="44" spans="2:17" x14ac:dyDescent="0.15">
      <c r="B44" s="120" t="s">
        <v>214</v>
      </c>
      <c r="C44" s="293">
        <f>$E$13*C42</f>
        <v>0</v>
      </c>
      <c r="D44" s="293">
        <f t="shared" ref="D44:N44" si="34">$E$13*D42</f>
        <v>0</v>
      </c>
      <c r="E44" s="293">
        <f t="shared" si="34"/>
        <v>0</v>
      </c>
      <c r="F44" s="293">
        <f t="shared" si="34"/>
        <v>0</v>
      </c>
      <c r="G44" s="293">
        <f t="shared" si="34"/>
        <v>0</v>
      </c>
      <c r="H44" s="293">
        <f t="shared" si="34"/>
        <v>0</v>
      </c>
      <c r="I44" s="293">
        <f t="shared" si="34"/>
        <v>0</v>
      </c>
      <c r="J44" s="293">
        <f t="shared" si="34"/>
        <v>0</v>
      </c>
      <c r="K44" s="293">
        <f t="shared" si="34"/>
        <v>0</v>
      </c>
      <c r="L44" s="293">
        <f t="shared" si="34"/>
        <v>0</v>
      </c>
      <c r="M44" s="293">
        <f t="shared" si="34"/>
        <v>0</v>
      </c>
      <c r="N44" s="293">
        <f t="shared" si="34"/>
        <v>0</v>
      </c>
      <c r="O44" s="111">
        <f>SUM(C44:N44)</f>
        <v>0</v>
      </c>
      <c r="P44" s="290">
        <f>IF(O43=0,0,O44/O43)</f>
        <v>0</v>
      </c>
      <c r="Q44" s="289">
        <f>IF($O$54=0,0,O44/$O$54)</f>
        <v>0</v>
      </c>
    </row>
    <row r="45" spans="2:17" x14ac:dyDescent="0.15">
      <c r="B45" s="112" t="s">
        <v>107</v>
      </c>
      <c r="C45" s="294">
        <f>C43-C44</f>
        <v>0</v>
      </c>
      <c r="D45" s="294">
        <f t="shared" ref="D45:N45" si="35">D43-D44</f>
        <v>0</v>
      </c>
      <c r="E45" s="294">
        <f t="shared" si="35"/>
        <v>0</v>
      </c>
      <c r="F45" s="294">
        <f t="shared" si="35"/>
        <v>0</v>
      </c>
      <c r="G45" s="294">
        <f t="shared" si="35"/>
        <v>0</v>
      </c>
      <c r="H45" s="294">
        <f t="shared" si="35"/>
        <v>0</v>
      </c>
      <c r="I45" s="294">
        <f t="shared" si="35"/>
        <v>0</v>
      </c>
      <c r="J45" s="294">
        <f t="shared" si="35"/>
        <v>0</v>
      </c>
      <c r="K45" s="294">
        <f t="shared" si="35"/>
        <v>0</v>
      </c>
      <c r="L45" s="294">
        <f t="shared" si="35"/>
        <v>0</v>
      </c>
      <c r="M45" s="294">
        <f t="shared" si="35"/>
        <v>0</v>
      </c>
      <c r="N45" s="294">
        <f t="shared" si="35"/>
        <v>0</v>
      </c>
      <c r="O45" s="111">
        <f>SUM(C45:N45)</f>
        <v>0</v>
      </c>
      <c r="P45" s="290">
        <f>IF(O43=0,0,O45/O43)</f>
        <v>0</v>
      </c>
      <c r="Q45" s="289">
        <f>IF($O$55=0,0,O45/$O$55)</f>
        <v>0</v>
      </c>
    </row>
    <row r="46" spans="2:17" x14ac:dyDescent="0.15">
      <c r="B46" s="123"/>
      <c r="C46" s="125"/>
      <c r="D46" s="125"/>
      <c r="E46" s="125"/>
      <c r="F46" s="125"/>
      <c r="G46" s="125"/>
      <c r="H46" s="125"/>
      <c r="I46" s="125"/>
      <c r="J46" s="125"/>
      <c r="K46" s="125"/>
      <c r="L46" s="125"/>
      <c r="M46" s="125"/>
      <c r="N46" s="125"/>
      <c r="O46" s="108"/>
      <c r="P46" s="7"/>
      <c r="Q46" s="109"/>
    </row>
    <row r="47" spans="2:17" x14ac:dyDescent="0.15">
      <c r="B47" s="105" t="str">
        <f>IF(ISBLANK(B14), "Product 6", B14)</f>
        <v xml:space="preserve"> </v>
      </c>
      <c r="C47" s="126"/>
      <c r="D47" s="126"/>
      <c r="E47" s="126"/>
      <c r="F47" s="126"/>
      <c r="G47" s="126"/>
      <c r="H47" s="126"/>
      <c r="I47" s="126"/>
      <c r="J47" s="126"/>
      <c r="K47" s="126"/>
      <c r="L47" s="126"/>
      <c r="M47" s="126"/>
      <c r="N47" s="126"/>
      <c r="O47" s="119"/>
      <c r="P47" s="7"/>
      <c r="Q47" s="109"/>
    </row>
    <row r="48" spans="2:17" x14ac:dyDescent="0.15">
      <c r="B48" s="107" t="str">
        <f>IF(ISBLANK(C14), "Units Sold", Unit6&amp; " Sold")</f>
        <v>Units Sold</v>
      </c>
      <c r="C48" s="139"/>
      <c r="D48" s="138">
        <f>C48+C48*$C$3</f>
        <v>0</v>
      </c>
      <c r="E48" s="138">
        <f t="shared" ref="E48" si="36">D48+D48*$C$3</f>
        <v>0</v>
      </c>
      <c r="F48" s="138">
        <f>E48+E48*$D$3</f>
        <v>0</v>
      </c>
      <c r="G48" s="138">
        <f t="shared" ref="G48:H48" si="37">F48+F48*$D$3</f>
        <v>0</v>
      </c>
      <c r="H48" s="138">
        <f t="shared" si="37"/>
        <v>0</v>
      </c>
      <c r="I48" s="138">
        <f>H48+H48*$E$3</f>
        <v>0</v>
      </c>
      <c r="J48" s="138">
        <f t="shared" ref="J48:K48" si="38">I48+I48*$E$3</f>
        <v>0</v>
      </c>
      <c r="K48" s="138">
        <f t="shared" si="38"/>
        <v>0</v>
      </c>
      <c r="L48" s="138">
        <f>K48+K48*$F$3</f>
        <v>0</v>
      </c>
      <c r="M48" s="138">
        <f t="shared" ref="M48:N48" si="39">L48+L48*$F$3</f>
        <v>0</v>
      </c>
      <c r="N48" s="138">
        <f t="shared" si="39"/>
        <v>0</v>
      </c>
      <c r="O48" s="297">
        <f t="shared" ref="O48:O54" si="40">SUM(C48:N48)</f>
        <v>0</v>
      </c>
      <c r="P48" s="7"/>
      <c r="Q48" s="289">
        <f>IF($O$52=0,0,O48/$O$52)</f>
        <v>0</v>
      </c>
    </row>
    <row r="49" spans="2:17" x14ac:dyDescent="0.15">
      <c r="B49" s="120" t="s">
        <v>109</v>
      </c>
      <c r="C49" s="295">
        <f>$D$14*C48</f>
        <v>0</v>
      </c>
      <c r="D49" s="295">
        <f t="shared" ref="D49:N49" si="41">$D$14*D48</f>
        <v>0</v>
      </c>
      <c r="E49" s="295">
        <f t="shared" si="41"/>
        <v>0</v>
      </c>
      <c r="F49" s="295">
        <f t="shared" si="41"/>
        <v>0</v>
      </c>
      <c r="G49" s="295">
        <f t="shared" si="41"/>
        <v>0</v>
      </c>
      <c r="H49" s="295">
        <f t="shared" si="41"/>
        <v>0</v>
      </c>
      <c r="I49" s="295">
        <f t="shared" si="41"/>
        <v>0</v>
      </c>
      <c r="J49" s="295">
        <f t="shared" si="41"/>
        <v>0</v>
      </c>
      <c r="K49" s="295">
        <f t="shared" si="41"/>
        <v>0</v>
      </c>
      <c r="L49" s="295">
        <f t="shared" si="41"/>
        <v>0</v>
      </c>
      <c r="M49" s="295">
        <f t="shared" si="41"/>
        <v>0</v>
      </c>
      <c r="N49" s="295">
        <f t="shared" si="41"/>
        <v>0</v>
      </c>
      <c r="O49" s="111">
        <f t="shared" si="40"/>
        <v>0</v>
      </c>
      <c r="P49" s="290">
        <f>(P50+P51)</f>
        <v>0</v>
      </c>
      <c r="Q49" s="289">
        <f>IF($O$53=0,0,O49/$O$53)</f>
        <v>0</v>
      </c>
    </row>
    <row r="50" spans="2:17" x14ac:dyDescent="0.15">
      <c r="B50" s="127" t="s">
        <v>214</v>
      </c>
      <c r="C50" s="295">
        <f>$E$14*C48</f>
        <v>0</v>
      </c>
      <c r="D50" s="295">
        <f t="shared" ref="D50:N50" si="42">$E$14*D48</f>
        <v>0</v>
      </c>
      <c r="E50" s="295">
        <f t="shared" si="42"/>
        <v>0</v>
      </c>
      <c r="F50" s="295">
        <f t="shared" si="42"/>
        <v>0</v>
      </c>
      <c r="G50" s="295">
        <f t="shared" si="42"/>
        <v>0</v>
      </c>
      <c r="H50" s="295">
        <f t="shared" si="42"/>
        <v>0</v>
      </c>
      <c r="I50" s="295">
        <f t="shared" si="42"/>
        <v>0</v>
      </c>
      <c r="J50" s="295">
        <f t="shared" si="42"/>
        <v>0</v>
      </c>
      <c r="K50" s="295">
        <f t="shared" si="42"/>
        <v>0</v>
      </c>
      <c r="L50" s="295">
        <f t="shared" si="42"/>
        <v>0</v>
      </c>
      <c r="M50" s="295">
        <f t="shared" si="42"/>
        <v>0</v>
      </c>
      <c r="N50" s="295">
        <f t="shared" si="42"/>
        <v>0</v>
      </c>
      <c r="O50" s="111">
        <f t="shared" si="40"/>
        <v>0</v>
      </c>
      <c r="P50" s="290">
        <f>IF(O49=0,0,O50/O49)</f>
        <v>0</v>
      </c>
      <c r="Q50" s="289">
        <f>IF($O$54=0,0,O50/$O$54)</f>
        <v>0</v>
      </c>
    </row>
    <row r="51" spans="2:17" x14ac:dyDescent="0.15">
      <c r="B51" s="110" t="s">
        <v>107</v>
      </c>
      <c r="C51" s="294">
        <f>C49-C50</f>
        <v>0</v>
      </c>
      <c r="D51" s="294">
        <f t="shared" ref="D51:N51" si="43">D49-D50</f>
        <v>0</v>
      </c>
      <c r="E51" s="294">
        <f t="shared" si="43"/>
        <v>0</v>
      </c>
      <c r="F51" s="294">
        <f t="shared" si="43"/>
        <v>0</v>
      </c>
      <c r="G51" s="294">
        <f t="shared" si="43"/>
        <v>0</v>
      </c>
      <c r="H51" s="294">
        <f t="shared" si="43"/>
        <v>0</v>
      </c>
      <c r="I51" s="294">
        <f t="shared" si="43"/>
        <v>0</v>
      </c>
      <c r="J51" s="294">
        <f t="shared" si="43"/>
        <v>0</v>
      </c>
      <c r="K51" s="294">
        <f t="shared" si="43"/>
        <v>0</v>
      </c>
      <c r="L51" s="294">
        <f t="shared" si="43"/>
        <v>0</v>
      </c>
      <c r="M51" s="294">
        <f t="shared" si="43"/>
        <v>0</v>
      </c>
      <c r="N51" s="294">
        <f t="shared" si="43"/>
        <v>0</v>
      </c>
      <c r="O51" s="111">
        <f t="shared" si="40"/>
        <v>0</v>
      </c>
      <c r="P51" s="290">
        <f>IF(O49=0,0,O51/O49)</f>
        <v>0</v>
      </c>
      <c r="Q51" s="289">
        <f>IF($O$55=0,0,O51/$O$55)</f>
        <v>0</v>
      </c>
    </row>
    <row r="52" spans="2:17" x14ac:dyDescent="0.15">
      <c r="B52" s="128" t="s">
        <v>108</v>
      </c>
      <c r="C52" s="296">
        <f t="shared" ref="C52:N52" si="44">C18+C24+C30+C36+C42+C48</f>
        <v>1332</v>
      </c>
      <c r="D52" s="296">
        <f t="shared" si="44"/>
        <v>1465.2</v>
      </c>
      <c r="E52" s="296">
        <f t="shared" si="44"/>
        <v>1611.72</v>
      </c>
      <c r="F52" s="296">
        <f t="shared" si="44"/>
        <v>1708.4232</v>
      </c>
      <c r="G52" s="296">
        <f t="shared" si="44"/>
        <v>1810.9285919999998</v>
      </c>
      <c r="H52" s="296">
        <f t="shared" si="44"/>
        <v>1919.5843075199998</v>
      </c>
      <c r="I52" s="296">
        <f t="shared" si="44"/>
        <v>1996.3676798207998</v>
      </c>
      <c r="J52" s="296">
        <f t="shared" si="44"/>
        <v>2076.2223870136318</v>
      </c>
      <c r="K52" s="296">
        <f t="shared" si="44"/>
        <v>2159.2712824941773</v>
      </c>
      <c r="L52" s="296">
        <f t="shared" si="44"/>
        <v>2224.0494209690023</v>
      </c>
      <c r="M52" s="296">
        <f t="shared" si="44"/>
        <v>2290.7709035980724</v>
      </c>
      <c r="N52" s="296">
        <f t="shared" si="44"/>
        <v>2359.4940307060147</v>
      </c>
      <c r="O52" s="297">
        <f t="shared" si="40"/>
        <v>22954.031804121696</v>
      </c>
      <c r="P52" s="7"/>
      <c r="Q52" s="109"/>
    </row>
    <row r="53" spans="2:17" x14ac:dyDescent="0.15">
      <c r="B53" s="129" t="s">
        <v>109</v>
      </c>
      <c r="C53" s="130">
        <f t="shared" ref="C53:N53" si="45">C19+C25+C31+C37+C43+C49</f>
        <v>6685.5</v>
      </c>
      <c r="D53" s="130">
        <f t="shared" si="45"/>
        <v>7354.05</v>
      </c>
      <c r="E53" s="130">
        <f t="shared" si="45"/>
        <v>8089.4549999999999</v>
      </c>
      <c r="F53" s="130">
        <f t="shared" si="45"/>
        <v>8574.8222999999998</v>
      </c>
      <c r="G53" s="130">
        <f t="shared" si="45"/>
        <v>9089.3116379999992</v>
      </c>
      <c r="H53" s="130">
        <f t="shared" si="45"/>
        <v>9634.6703362799999</v>
      </c>
      <c r="I53" s="130">
        <f t="shared" si="45"/>
        <v>10020.057149731199</v>
      </c>
      <c r="J53" s="130">
        <f t="shared" si="45"/>
        <v>10420.859435720447</v>
      </c>
      <c r="K53" s="130">
        <f t="shared" si="45"/>
        <v>10837.693813149266</v>
      </c>
      <c r="L53" s="130">
        <f t="shared" si="45"/>
        <v>11162.824627543743</v>
      </c>
      <c r="M53" s="130">
        <f t="shared" si="45"/>
        <v>11497.709366370056</v>
      </c>
      <c r="N53" s="130">
        <f t="shared" si="45"/>
        <v>11842.640647361159</v>
      </c>
      <c r="O53" s="111">
        <f t="shared" si="40"/>
        <v>115209.59431415585</v>
      </c>
      <c r="P53" s="7"/>
      <c r="Q53" s="109"/>
    </row>
    <row r="54" spans="2:17" x14ac:dyDescent="0.15">
      <c r="B54" s="106" t="s">
        <v>105</v>
      </c>
      <c r="C54" s="131">
        <f>C20+C26+C32+C38+C44+C50</f>
        <v>1362.1399999999999</v>
      </c>
      <c r="D54" s="131">
        <f t="shared" ref="D54:N54" si="46">D20+D26+D32+D38+D44+D50</f>
        <v>1498.354</v>
      </c>
      <c r="E54" s="131">
        <f t="shared" si="46"/>
        <v>1648.1893999999998</v>
      </c>
      <c r="F54" s="131">
        <f t="shared" si="46"/>
        <v>1747.0807639999998</v>
      </c>
      <c r="G54" s="131">
        <f t="shared" si="46"/>
        <v>1851.9056098399997</v>
      </c>
      <c r="H54" s="131">
        <f t="shared" si="46"/>
        <v>1963.0199464303998</v>
      </c>
      <c r="I54" s="131">
        <f t="shared" si="46"/>
        <v>2041.540744287616</v>
      </c>
      <c r="J54" s="131">
        <f t="shared" si="46"/>
        <v>2123.2023740591203</v>
      </c>
      <c r="K54" s="131">
        <f t="shared" si="46"/>
        <v>2208.1304690214852</v>
      </c>
      <c r="L54" s="131">
        <f t="shared" si="46"/>
        <v>2274.3743830921298</v>
      </c>
      <c r="M54" s="131">
        <f t="shared" si="46"/>
        <v>2342.6056145848938</v>
      </c>
      <c r="N54" s="131">
        <f t="shared" si="46"/>
        <v>2412.8837830224406</v>
      </c>
      <c r="O54" s="111">
        <f t="shared" si="40"/>
        <v>23473.427088338085</v>
      </c>
      <c r="P54" s="7"/>
      <c r="Q54" s="109"/>
    </row>
    <row r="55" spans="2:17" x14ac:dyDescent="0.15">
      <c r="B55" s="106" t="s">
        <v>110</v>
      </c>
      <c r="C55" s="132">
        <f>C53-C54</f>
        <v>5323.3600000000006</v>
      </c>
      <c r="D55" s="132">
        <f t="shared" ref="D55:N55" si="47">D53-D54</f>
        <v>5855.6959999999999</v>
      </c>
      <c r="E55" s="132">
        <f t="shared" si="47"/>
        <v>6441.2656000000006</v>
      </c>
      <c r="F55" s="132">
        <f t="shared" si="47"/>
        <v>6827.7415359999995</v>
      </c>
      <c r="G55" s="132">
        <f t="shared" si="47"/>
        <v>7237.4060281599996</v>
      </c>
      <c r="H55" s="132">
        <f t="shared" si="47"/>
        <v>7671.6503898496003</v>
      </c>
      <c r="I55" s="132">
        <f t="shared" si="47"/>
        <v>7978.5164054435836</v>
      </c>
      <c r="J55" s="132">
        <f t="shared" si="47"/>
        <v>8297.657061661328</v>
      </c>
      <c r="K55" s="132">
        <f t="shared" si="47"/>
        <v>8629.5633441277805</v>
      </c>
      <c r="L55" s="132">
        <f t="shared" si="47"/>
        <v>8888.4502444516129</v>
      </c>
      <c r="M55" s="132">
        <f t="shared" si="47"/>
        <v>9155.1037517851619</v>
      </c>
      <c r="N55" s="132">
        <f t="shared" si="47"/>
        <v>9429.7568643387185</v>
      </c>
      <c r="O55" s="121">
        <f>O21+O27+O33+O39+O45+O51</f>
        <v>91736.167225817786</v>
      </c>
      <c r="P55" s="7"/>
      <c r="Q55" s="109"/>
    </row>
    <row r="60" spans="2:17" x14ac:dyDescent="0.15">
      <c r="B60" s="6"/>
    </row>
  </sheetData>
  <sheetProtection algorithmName="SHA-512" hashValue="yHOcYcq+gsycrEAWN8bapvTNWD2N2ispry18+IFdwnkM9lrwAFpgU/Nr21mZ2eGnECUJ+XIKC9rS43i7v/f78g==" saltValue="uPZFtMB/AgzCSC7U2ZROmA==" spinCount="100000" sheet="1" formatColumns="0" formatRows="0"/>
  <mergeCells count="4">
    <mergeCell ref="C15:N15"/>
    <mergeCell ref="B2:C2"/>
    <mergeCell ref="B7:E7"/>
    <mergeCell ref="C5:D5"/>
  </mergeCells>
  <phoneticPr fontId="3" type="noConversion"/>
  <conditionalFormatting sqref="B9:E14">
    <cfRule type="containsBlanks" dxfId="66" priority="40">
      <formula>LEN(TRIM(B9))=0</formula>
    </cfRule>
  </conditionalFormatting>
  <conditionalFormatting sqref="C18:N18">
    <cfRule type="containsBlanks" dxfId="65" priority="6" stopIfTrue="1">
      <formula>LEN(TRIM(C18))=0</formula>
    </cfRule>
  </conditionalFormatting>
  <conditionalFormatting sqref="C24:N24">
    <cfRule type="containsBlanks" dxfId="64" priority="4" stopIfTrue="1">
      <formula>LEN(TRIM(C24))=0</formula>
    </cfRule>
  </conditionalFormatting>
  <conditionalFormatting sqref="C30:N30">
    <cfRule type="containsBlanks" dxfId="63" priority="5" stopIfTrue="1">
      <formula>LEN(TRIM(C30))=0</formula>
    </cfRule>
  </conditionalFormatting>
  <conditionalFormatting sqref="C36:N36">
    <cfRule type="containsBlanks" dxfId="62" priority="3" stopIfTrue="1">
      <formula>LEN(TRIM(C36))=0</formula>
    </cfRule>
  </conditionalFormatting>
  <conditionalFormatting sqref="C42:N42">
    <cfRule type="containsBlanks" dxfId="61" priority="2" stopIfTrue="1">
      <formula>LEN(TRIM(C42))=0</formula>
    </cfRule>
  </conditionalFormatting>
  <conditionalFormatting sqref="C48:N48">
    <cfRule type="containsBlanks" dxfId="60" priority="1" stopIfTrue="1">
      <formula>LEN(TRIM(C48))=0</formula>
    </cfRule>
  </conditionalFormatting>
  <hyperlinks>
    <hyperlink ref="E8" location="'COGS Calculator'!A1" display="COGS Per Unit" xr:uid="{00000000-0004-0000-0400-000000000000}"/>
  </hyperlinks>
  <printOptions horizontalCentered="1"/>
  <pageMargins left="0.25" right="0.25" top="0.75" bottom="0.75" header="0.3" footer="0.3"/>
  <pageSetup scale="62" orientation="landscape" r:id="rId1"/>
  <headerFooter scaleWithDoc="0">
    <oddHeader>&amp;C&amp;"Gill Sans MT,Regular"&amp;12Sales Forecst Year 1</oddHeader>
    <oddFooter>&amp;L&amp;"Gill Sans MT,Regular"&amp;12&amp;F&amp;C&amp;"Gill Sans MT,Regular"&amp;12&amp;A&amp;R&amp;"Gill Sans MT,Regular"&amp;12&amp;D &amp;T</oddFoot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rgb="FFFFC95B"/>
    <pageSetUpPr fitToPage="1"/>
  </sheetPr>
  <dimension ref="A1:AF49"/>
  <sheetViews>
    <sheetView zoomScale="187" zoomScaleNormal="100" zoomScalePageLayoutView="50" workbookViewId="0">
      <selection activeCell="B12" sqref="B12"/>
    </sheetView>
  </sheetViews>
  <sheetFormatPr baseColWidth="10" defaultColWidth="8.83203125" defaultRowHeight="12" x14ac:dyDescent="0.15"/>
  <cols>
    <col min="1" max="1" width="26.33203125" style="46" bestFit="1" customWidth="1"/>
    <col min="2" max="2" width="30.6640625" style="46" bestFit="1" customWidth="1"/>
    <col min="3" max="3" width="9.33203125" style="46" customWidth="1"/>
    <col min="4" max="4" width="10.33203125" style="46" bestFit="1" customWidth="1"/>
    <col min="5" max="5" width="9.33203125" style="46" customWidth="1"/>
    <col min="6" max="6" width="9" style="46" bestFit="1" customWidth="1"/>
    <col min="7" max="7" width="9.5" style="46" customWidth="1"/>
    <col min="8" max="8" width="9" style="46" bestFit="1" customWidth="1"/>
    <col min="9" max="9" width="9.33203125" style="46" customWidth="1"/>
    <col min="10" max="10" width="9" style="46" customWidth="1"/>
    <col min="11" max="11" width="11.83203125" style="46" bestFit="1" customWidth="1"/>
    <col min="12" max="12" width="9" style="46" bestFit="1" customWidth="1"/>
    <col min="13" max="14" width="11.33203125" style="46" bestFit="1" customWidth="1"/>
    <col min="15" max="15" width="14.33203125" style="46" bestFit="1" customWidth="1"/>
    <col min="16" max="16" width="13" style="46" customWidth="1"/>
    <col min="17" max="17" width="11.33203125" style="46" bestFit="1" customWidth="1"/>
    <col min="18" max="18" width="8.83203125" style="46"/>
    <col min="19" max="19" width="10.33203125" style="46" bestFit="1" customWidth="1"/>
    <col min="20" max="25" width="8.83203125" style="46"/>
    <col min="26" max="26" width="11.83203125" style="46" bestFit="1" customWidth="1"/>
    <col min="27" max="27" width="8.83203125" style="46"/>
    <col min="28" max="29" width="11.33203125" style="46" bestFit="1" customWidth="1"/>
    <col min="30" max="30" width="11" style="46" bestFit="1" customWidth="1"/>
    <col min="31" max="31" width="13" style="46" bestFit="1" customWidth="1"/>
    <col min="32" max="32" width="12.6640625" style="46" bestFit="1" customWidth="1"/>
    <col min="33" max="16384" width="8.83203125" style="46"/>
  </cols>
  <sheetData>
    <row r="1" spans="1:32" x14ac:dyDescent="0.15">
      <c r="G1" s="136"/>
    </row>
    <row r="2" spans="1:32" x14ac:dyDescent="0.15">
      <c r="B2" s="58" t="s">
        <v>86</v>
      </c>
    </row>
    <row r="3" spans="1:32" ht="21.75" customHeight="1" x14ac:dyDescent="0.15">
      <c r="B3" s="56"/>
      <c r="C3" s="56"/>
    </row>
    <row r="4" spans="1:32" ht="21.75" customHeight="1" x14ac:dyDescent="0.15">
      <c r="B4" s="58" t="s">
        <v>133</v>
      </c>
      <c r="C4" s="58" t="s">
        <v>131</v>
      </c>
    </row>
    <row r="5" spans="1:32" ht="21.75" customHeight="1" x14ac:dyDescent="0.15">
      <c r="B5" s="5" t="str">
        <f>IF(ISBLANK(Directions!C10), "Owner", Directions!C10)</f>
        <v>Dave Johnson</v>
      </c>
      <c r="C5" s="502" t="str">
        <f>IF(ISBLANK(Directions!D10), "Company 1", Directions!D10)</f>
        <v>Dave's Famous Pretzels</v>
      </c>
      <c r="D5" s="502"/>
      <c r="G5" s="136"/>
    </row>
    <row r="6" spans="1:32" ht="21.75" customHeight="1" x14ac:dyDescent="0.15">
      <c r="B6" s="56"/>
      <c r="C6" s="56"/>
      <c r="G6" s="136"/>
    </row>
    <row r="7" spans="1:32" x14ac:dyDescent="0.15">
      <c r="B7" s="137" t="s">
        <v>360</v>
      </c>
      <c r="C7" s="470">
        <v>0.03</v>
      </c>
      <c r="D7" s="103"/>
      <c r="G7" s="136"/>
    </row>
    <row r="8" spans="1:32" x14ac:dyDescent="0.15">
      <c r="B8" s="137" t="s">
        <v>361</v>
      </c>
      <c r="C8" s="470">
        <v>0.02</v>
      </c>
      <c r="D8" s="103"/>
      <c r="F8" s="136"/>
      <c r="G8" s="136"/>
    </row>
    <row r="9" spans="1:32" x14ac:dyDescent="0.15">
      <c r="C9" s="136"/>
      <c r="D9" s="136"/>
      <c r="E9" s="136"/>
      <c r="F9" s="136"/>
      <c r="G9" s="136"/>
      <c r="H9" s="136"/>
      <c r="I9" s="136"/>
      <c r="J9" s="136"/>
      <c r="K9" s="136"/>
      <c r="L9" s="136"/>
      <c r="M9" s="136"/>
    </row>
    <row r="10" spans="1:32" ht="27" thickBot="1" x14ac:dyDescent="0.2">
      <c r="A10" s="345" t="s">
        <v>212</v>
      </c>
      <c r="B10" s="345" t="s">
        <v>206</v>
      </c>
      <c r="C10" s="345" t="str">
        <f>'2a-PayrollYear1'!F7</f>
        <v>January</v>
      </c>
      <c r="D10" s="345" t="str">
        <f>'2a-PayrollYear1'!G7</f>
        <v>February</v>
      </c>
      <c r="E10" s="345" t="str">
        <f>'2a-PayrollYear1'!H7</f>
        <v>March</v>
      </c>
      <c r="F10" s="345" t="str">
        <f>'2a-PayrollYear1'!I7</f>
        <v>April</v>
      </c>
      <c r="G10" s="345" t="str">
        <f>'2a-PayrollYear1'!J7</f>
        <v>May</v>
      </c>
      <c r="H10" s="345" t="str">
        <f>'2a-PayrollYear1'!K7</f>
        <v>June</v>
      </c>
      <c r="I10" s="345" t="str">
        <f>'2a-PayrollYear1'!L7</f>
        <v>July</v>
      </c>
      <c r="J10" s="345" t="str">
        <f>'2a-PayrollYear1'!M7</f>
        <v>August</v>
      </c>
      <c r="K10" s="345" t="str">
        <f>'2a-PayrollYear1'!N7</f>
        <v>September</v>
      </c>
      <c r="L10" s="345" t="str">
        <f>'2a-PayrollYear1'!O7</f>
        <v>October</v>
      </c>
      <c r="M10" s="345" t="str">
        <f>'2a-PayrollYear1'!P7</f>
        <v>November</v>
      </c>
      <c r="N10" s="345" t="str">
        <f>'2a-PayrollYear1'!Q7</f>
        <v>December</v>
      </c>
      <c r="O10" s="344" t="s">
        <v>207</v>
      </c>
      <c r="P10" s="344" t="s">
        <v>216</v>
      </c>
      <c r="Q10" s="344" t="s">
        <v>111</v>
      </c>
      <c r="R10" s="345" t="str">
        <f>'2a-PayrollYear1'!F7</f>
        <v>January</v>
      </c>
      <c r="S10" s="345" t="str">
        <f>'2a-PayrollYear1'!G7</f>
        <v>February</v>
      </c>
      <c r="T10" s="345" t="str">
        <f>'2a-PayrollYear1'!H7</f>
        <v>March</v>
      </c>
      <c r="U10" s="345" t="str">
        <f>'2a-PayrollYear1'!I7</f>
        <v>April</v>
      </c>
      <c r="V10" s="345" t="str">
        <f>'2a-PayrollYear1'!J7</f>
        <v>May</v>
      </c>
      <c r="W10" s="345" t="str">
        <f>'2a-PayrollYear1'!K7</f>
        <v>June</v>
      </c>
      <c r="X10" s="345" t="str">
        <f>'2a-PayrollYear1'!L7</f>
        <v>July</v>
      </c>
      <c r="Y10" s="345" t="str">
        <f>'2a-PayrollYear1'!M7</f>
        <v>August</v>
      </c>
      <c r="Z10" s="345" t="str">
        <f>'2a-PayrollYear1'!N7</f>
        <v>September</v>
      </c>
      <c r="AA10" s="345" t="str">
        <f>'2a-PayrollYear1'!O7</f>
        <v>October</v>
      </c>
      <c r="AB10" s="345" t="str">
        <f>'2a-PayrollYear1'!P7</f>
        <v>November</v>
      </c>
      <c r="AC10" s="345" t="str">
        <f>'2a-PayrollYear1'!Q7</f>
        <v>December</v>
      </c>
      <c r="AD10" s="344" t="s">
        <v>208</v>
      </c>
      <c r="AE10" s="344" t="s">
        <v>216</v>
      </c>
      <c r="AF10" s="344" t="s">
        <v>111</v>
      </c>
    </row>
    <row r="11" spans="1:32" ht="13" thickTop="1" x14ac:dyDescent="0.15">
      <c r="A11" s="117" t="str">
        <f>'3a-SalesForecastYear1'!B17</f>
        <v>Pretzels</v>
      </c>
      <c r="B11" s="117"/>
      <c r="C11" s="331"/>
      <c r="D11" s="331"/>
      <c r="E11" s="331"/>
      <c r="F11" s="331"/>
      <c r="G11" s="331"/>
      <c r="H11" s="331"/>
      <c r="I11" s="331"/>
      <c r="J11" s="331"/>
      <c r="K11" s="331"/>
      <c r="L11" s="331"/>
      <c r="M11" s="331"/>
      <c r="N11" s="331"/>
      <c r="O11" s="119"/>
      <c r="P11" s="322"/>
      <c r="Q11" s="119"/>
      <c r="R11" s="331"/>
      <c r="S11" s="331"/>
      <c r="T11" s="331"/>
      <c r="U11" s="331"/>
      <c r="V11" s="331"/>
      <c r="W11" s="331"/>
      <c r="X11" s="331"/>
      <c r="Y11" s="331"/>
      <c r="Z11" s="331"/>
      <c r="AA11" s="331"/>
      <c r="AB11" s="331"/>
      <c r="AC11" s="331"/>
      <c r="AD11" s="119"/>
      <c r="AE11" s="322"/>
      <c r="AF11" s="119"/>
    </row>
    <row r="12" spans="1:32" x14ac:dyDescent="0.15">
      <c r="A12" s="107" t="str">
        <f>Unit1&amp; " Sold"</f>
        <v>10000 Sold</v>
      </c>
      <c r="B12" s="107">
        <f>Unit1_Annual</f>
        <v>10339.653965820584</v>
      </c>
      <c r="C12" s="279">
        <f>'3a-SalesForecastYear1'!N18</f>
        <v>1062.8351489666734</v>
      </c>
      <c r="D12" s="279">
        <f>C12+C12*$C$7</f>
        <v>1094.7202034356735</v>
      </c>
      <c r="E12" s="279">
        <f t="shared" ref="E12:N12" si="0">D12+D12*$C$7</f>
        <v>1127.5618095387438</v>
      </c>
      <c r="F12" s="279">
        <f t="shared" si="0"/>
        <v>1161.3886638249062</v>
      </c>
      <c r="G12" s="279">
        <f t="shared" si="0"/>
        <v>1196.2303237396534</v>
      </c>
      <c r="H12" s="279">
        <f t="shared" si="0"/>
        <v>1232.117233451843</v>
      </c>
      <c r="I12" s="279">
        <f t="shared" si="0"/>
        <v>1269.0807504553984</v>
      </c>
      <c r="J12" s="279">
        <f t="shared" si="0"/>
        <v>1307.1531729690603</v>
      </c>
      <c r="K12" s="279">
        <f t="shared" si="0"/>
        <v>1346.3677681581321</v>
      </c>
      <c r="L12" s="279">
        <f t="shared" si="0"/>
        <v>1386.7588012028762</v>
      </c>
      <c r="M12" s="279">
        <f t="shared" si="0"/>
        <v>1428.3615652389624</v>
      </c>
      <c r="N12" s="279">
        <f t="shared" si="0"/>
        <v>1471.2124121961313</v>
      </c>
      <c r="O12" s="297">
        <f>SUM(C12:N12)</f>
        <v>15083.787853178053</v>
      </c>
      <c r="P12" s="7"/>
      <c r="Q12" s="289">
        <f>IF($O$46=0,0,O12/$O$46)</f>
        <v>0.45045045045045035</v>
      </c>
      <c r="R12" s="279">
        <f>N12</f>
        <v>1471.2124121961313</v>
      </c>
      <c r="S12" s="279">
        <f>R12+R12*$C$8</f>
        <v>1500.6366604400539</v>
      </c>
      <c r="T12" s="279">
        <f t="shared" ref="T12:AC12" si="1">S12+S12*$C$8</f>
        <v>1530.649393648855</v>
      </c>
      <c r="U12" s="279">
        <f t="shared" si="1"/>
        <v>1561.2623815218321</v>
      </c>
      <c r="V12" s="279">
        <f t="shared" si="1"/>
        <v>1592.4876291522687</v>
      </c>
      <c r="W12" s="279">
        <f t="shared" si="1"/>
        <v>1624.337381735314</v>
      </c>
      <c r="X12" s="279">
        <f t="shared" si="1"/>
        <v>1656.8241293700203</v>
      </c>
      <c r="Y12" s="279">
        <f t="shared" si="1"/>
        <v>1689.9606119574207</v>
      </c>
      <c r="Z12" s="279">
        <f t="shared" si="1"/>
        <v>1723.7598241965691</v>
      </c>
      <c r="AA12" s="279">
        <f t="shared" si="1"/>
        <v>1758.2350206805004</v>
      </c>
      <c r="AB12" s="279">
        <f t="shared" si="1"/>
        <v>1793.3997210941104</v>
      </c>
      <c r="AC12" s="279">
        <f t="shared" si="1"/>
        <v>1829.2677155159927</v>
      </c>
      <c r="AD12" s="297">
        <f>SUM(R12:AC12)</f>
        <v>19732.032881509069</v>
      </c>
      <c r="AE12" s="7"/>
      <c r="AF12" s="289">
        <f>IF($AD$46=0,0,AD12/$AD$46)</f>
        <v>0.45045045045045035</v>
      </c>
    </row>
    <row r="13" spans="1:32" x14ac:dyDescent="0.15">
      <c r="A13" s="110" t="s">
        <v>109</v>
      </c>
      <c r="B13" s="274">
        <f>Category1_Annual_Sales</f>
        <v>72377.577760744098</v>
      </c>
      <c r="C13" s="281">
        <f>+C12*'3a-SalesForecastYear1'!$D$9</f>
        <v>7439.8460427667142</v>
      </c>
      <c r="D13" s="281">
        <f>+D12*'3a-SalesForecastYear1'!$D$9</f>
        <v>7663.0414240497148</v>
      </c>
      <c r="E13" s="281">
        <f>+E12*'3a-SalesForecastYear1'!$D$9</f>
        <v>7892.9326667712066</v>
      </c>
      <c r="F13" s="281">
        <f>+F12*'3a-SalesForecastYear1'!$D$9</f>
        <v>8129.7206467743435</v>
      </c>
      <c r="G13" s="281">
        <f>+G12*'3a-SalesForecastYear1'!$D$9</f>
        <v>8373.6122661775735</v>
      </c>
      <c r="H13" s="281">
        <f>+H12*'3a-SalesForecastYear1'!$D$9</f>
        <v>8624.8206341629011</v>
      </c>
      <c r="I13" s="281">
        <f>+I12*'3a-SalesForecastYear1'!$D$9</f>
        <v>8883.5652531877895</v>
      </c>
      <c r="J13" s="281">
        <f>+J12*'3a-SalesForecastYear1'!$D$9</f>
        <v>9150.0722107834226</v>
      </c>
      <c r="K13" s="281">
        <f>+K12*'3a-SalesForecastYear1'!$D$9</f>
        <v>9424.5743771069247</v>
      </c>
      <c r="L13" s="281">
        <f>+L12*'3a-SalesForecastYear1'!$D$9</f>
        <v>9707.3116084201338</v>
      </c>
      <c r="M13" s="281">
        <f>+M12*'3a-SalesForecastYear1'!$D$9</f>
        <v>9998.5309566727374</v>
      </c>
      <c r="N13" s="281">
        <f>+N12*'3a-SalesForecastYear1'!$D$9</f>
        <v>10298.486885372919</v>
      </c>
      <c r="O13" s="111">
        <f>SUM(C13:N13)</f>
        <v>105586.51497224637</v>
      </c>
      <c r="P13" s="290">
        <f>(P14+P15)</f>
        <v>1</v>
      </c>
      <c r="Q13" s="289">
        <f>IF($O$47=0,0,O13/$O$47)</f>
        <v>0.62822526363024445</v>
      </c>
      <c r="R13" s="281">
        <f>+R12*'3a-SalesForecastYear1'!$D$9</f>
        <v>10298.486885372919</v>
      </c>
      <c r="S13" s="281">
        <f>+S12*'3a-SalesForecastYear1'!$D$9</f>
        <v>10504.456623080378</v>
      </c>
      <c r="T13" s="281">
        <f>+T12*'3a-SalesForecastYear1'!$D$9</f>
        <v>10714.545755541985</v>
      </c>
      <c r="U13" s="281">
        <f>+U12*'3a-SalesForecastYear1'!$D$9</f>
        <v>10928.836670652825</v>
      </c>
      <c r="V13" s="281">
        <f>+V12*'3a-SalesForecastYear1'!$D$9</f>
        <v>11147.413404065881</v>
      </c>
      <c r="W13" s="281">
        <f>+W12*'3a-SalesForecastYear1'!$D$9</f>
        <v>11370.361672147199</v>
      </c>
      <c r="X13" s="281">
        <f>+X12*'3a-SalesForecastYear1'!$D$9</f>
        <v>11597.768905590143</v>
      </c>
      <c r="Y13" s="281">
        <f>+Y12*'3a-SalesForecastYear1'!$D$9</f>
        <v>11829.724283701946</v>
      </c>
      <c r="Z13" s="281">
        <f>+Z12*'3a-SalesForecastYear1'!$D$9</f>
        <v>12066.318769375983</v>
      </c>
      <c r="AA13" s="281">
        <f>+AA12*'3a-SalesForecastYear1'!$D$9</f>
        <v>12307.645144763503</v>
      </c>
      <c r="AB13" s="281">
        <f>+AB12*'3a-SalesForecastYear1'!$D$9</f>
        <v>12553.798047658773</v>
      </c>
      <c r="AC13" s="281">
        <f>+AC12*'3a-SalesForecastYear1'!$D$9</f>
        <v>12804.874008611949</v>
      </c>
      <c r="AD13" s="111">
        <f>SUM(R13:AC13)</f>
        <v>138124.23017056347</v>
      </c>
      <c r="AE13" s="290">
        <f>(AE14+AE15)</f>
        <v>1.0000000000000002</v>
      </c>
      <c r="AF13" s="289">
        <f>IF($AD$47=0,0,AD13/$AD$47)</f>
        <v>0.62822526363024456</v>
      </c>
    </row>
    <row r="14" spans="1:32" x14ac:dyDescent="0.15">
      <c r="A14" s="110" t="s">
        <v>214</v>
      </c>
      <c r="B14" s="274">
        <f>'3a-SalesForecastYear1'!O20</f>
        <v>15509.480948730876</v>
      </c>
      <c r="C14" s="281">
        <f>+C12*'3a-SalesForecastYear1'!$E$9</f>
        <v>1594.2527234500101</v>
      </c>
      <c r="D14" s="281">
        <f>+D12*'3a-SalesForecastYear1'!$E$9</f>
        <v>1642.0803051535104</v>
      </c>
      <c r="E14" s="281">
        <f>+E12*'3a-SalesForecastYear1'!$E$9</f>
        <v>1691.3427143081158</v>
      </c>
      <c r="F14" s="281">
        <f>+F12*'3a-SalesForecastYear1'!$E$9</f>
        <v>1742.0829957373594</v>
      </c>
      <c r="G14" s="281">
        <f>+G12*'3a-SalesForecastYear1'!$E$9</f>
        <v>1794.34548560948</v>
      </c>
      <c r="H14" s="281">
        <f>+H12*'3a-SalesForecastYear1'!$E$9</f>
        <v>1848.1758501777645</v>
      </c>
      <c r="I14" s="281">
        <f>+I12*'3a-SalesForecastYear1'!$E$9</f>
        <v>1903.6211256830975</v>
      </c>
      <c r="J14" s="281">
        <f>+J12*'3a-SalesForecastYear1'!$E$9</f>
        <v>1960.7297594535903</v>
      </c>
      <c r="K14" s="281">
        <f>+K12*'3a-SalesForecastYear1'!$E$9</f>
        <v>2019.5516522371981</v>
      </c>
      <c r="L14" s="281">
        <f>+L12*'3a-SalesForecastYear1'!$E$9</f>
        <v>2080.1382018043141</v>
      </c>
      <c r="M14" s="281">
        <f>+M12*'3a-SalesForecastYear1'!$E$9</f>
        <v>2142.5423478584435</v>
      </c>
      <c r="N14" s="281">
        <f>+N12*'3a-SalesForecastYear1'!$E$9</f>
        <v>2206.8186182941968</v>
      </c>
      <c r="O14" s="111">
        <f>SUM(C14:N14)</f>
        <v>22625.681779767077</v>
      </c>
      <c r="P14" s="290">
        <f>IF(O13=0,0,O14/O13)</f>
        <v>0.21428571428571427</v>
      </c>
      <c r="Q14" s="289">
        <f>IF($O$48=0,0,O14/$O$48)</f>
        <v>0.66072503560573803</v>
      </c>
      <c r="R14" s="281">
        <f>+R12*'3a-SalesForecastYear1'!$E$9</f>
        <v>2206.8186182941968</v>
      </c>
      <c r="S14" s="281">
        <f>+S12*'3a-SalesForecastYear1'!$E$9</f>
        <v>2250.954990660081</v>
      </c>
      <c r="T14" s="281">
        <f>+T12*'3a-SalesForecastYear1'!$E$9</f>
        <v>2295.9740904732826</v>
      </c>
      <c r="U14" s="281">
        <f>+U12*'3a-SalesForecastYear1'!$E$9</f>
        <v>2341.8935722827482</v>
      </c>
      <c r="V14" s="281">
        <f>+V12*'3a-SalesForecastYear1'!$E$9</f>
        <v>2388.7314437284031</v>
      </c>
      <c r="W14" s="281">
        <f>+W12*'3a-SalesForecastYear1'!$E$9</f>
        <v>2436.506072602971</v>
      </c>
      <c r="X14" s="281">
        <f>+X12*'3a-SalesForecastYear1'!$E$9</f>
        <v>2485.2361940550304</v>
      </c>
      <c r="Y14" s="281">
        <f>+Y12*'3a-SalesForecastYear1'!$E$9</f>
        <v>2534.940917936131</v>
      </c>
      <c r="Z14" s="281">
        <f>+Z12*'3a-SalesForecastYear1'!$E$9</f>
        <v>2585.6397362948537</v>
      </c>
      <c r="AA14" s="281">
        <f>+AA12*'3a-SalesForecastYear1'!$E$9</f>
        <v>2637.3525310207506</v>
      </c>
      <c r="AB14" s="281">
        <f>+AB12*'3a-SalesForecastYear1'!$E$9</f>
        <v>2690.0995816411655</v>
      </c>
      <c r="AC14" s="281">
        <f>+AC12*'3a-SalesForecastYear1'!$E$9</f>
        <v>2743.901573273989</v>
      </c>
      <c r="AD14" s="111">
        <f>SUM(R14:AC14)</f>
        <v>29598.049322263607</v>
      </c>
      <c r="AE14" s="290">
        <f>IF(AD13=0,0,AD14/AD13)</f>
        <v>0.21428571428571433</v>
      </c>
      <c r="AF14" s="289">
        <f>IF($AD$48=0,0,AD14/$AD$48)</f>
        <v>0.66072503560573803</v>
      </c>
    </row>
    <row r="15" spans="1:32" x14ac:dyDescent="0.15">
      <c r="A15" s="112" t="s">
        <v>110</v>
      </c>
      <c r="B15" s="274">
        <f>'3a-SalesForecastYear1'!O21</f>
        <v>56868.096812013217</v>
      </c>
      <c r="C15" s="281">
        <f>C13-C14</f>
        <v>5845.5933193167039</v>
      </c>
      <c r="D15" s="281">
        <f t="shared" ref="D15:N15" si="2">D13-D14</f>
        <v>6020.9611188962044</v>
      </c>
      <c r="E15" s="281">
        <f t="shared" si="2"/>
        <v>6201.5899524630913</v>
      </c>
      <c r="F15" s="281">
        <f t="shared" si="2"/>
        <v>6387.6376510369846</v>
      </c>
      <c r="G15" s="281">
        <f t="shared" si="2"/>
        <v>6579.266780568094</v>
      </c>
      <c r="H15" s="281">
        <f t="shared" si="2"/>
        <v>6776.6447839851371</v>
      </c>
      <c r="I15" s="281">
        <f t="shared" si="2"/>
        <v>6979.944127504692</v>
      </c>
      <c r="J15" s="281">
        <f t="shared" si="2"/>
        <v>7189.3424513298323</v>
      </c>
      <c r="K15" s="281">
        <f t="shared" si="2"/>
        <v>7405.0227248697265</v>
      </c>
      <c r="L15" s="281">
        <f t="shared" si="2"/>
        <v>7627.1734066158197</v>
      </c>
      <c r="M15" s="281">
        <f t="shared" si="2"/>
        <v>7855.9886088142939</v>
      </c>
      <c r="N15" s="281">
        <f t="shared" si="2"/>
        <v>8091.6682670787213</v>
      </c>
      <c r="O15" s="111">
        <f>SUM(C15:N15)</f>
        <v>82960.833192479302</v>
      </c>
      <c r="P15" s="290">
        <f>IF(O13=0,0,O15/O13)</f>
        <v>0.78571428571428581</v>
      </c>
      <c r="Q15" s="289">
        <f>IF($O$49=0,0,O15/$O$49)</f>
        <v>0.61990923026058731</v>
      </c>
      <c r="R15" s="281">
        <f>R13-R14</f>
        <v>8091.6682670787213</v>
      </c>
      <c r="S15" s="281">
        <f t="shared" ref="S15:AC15" si="3">S13-S14</f>
        <v>8253.501632420297</v>
      </c>
      <c r="T15" s="281">
        <f t="shared" si="3"/>
        <v>8418.5716650687027</v>
      </c>
      <c r="U15" s="281">
        <f t="shared" si="3"/>
        <v>8586.9430983700768</v>
      </c>
      <c r="V15" s="281">
        <f t="shared" si="3"/>
        <v>8758.6819603374788</v>
      </c>
      <c r="W15" s="281">
        <f t="shared" si="3"/>
        <v>8933.8555995442275</v>
      </c>
      <c r="X15" s="281">
        <f t="shared" si="3"/>
        <v>9112.532711535112</v>
      </c>
      <c r="Y15" s="281">
        <f t="shared" si="3"/>
        <v>9294.7833657658157</v>
      </c>
      <c r="Z15" s="281">
        <f t="shared" si="3"/>
        <v>9480.6790330811291</v>
      </c>
      <c r="AA15" s="281">
        <f t="shared" si="3"/>
        <v>9670.292613742753</v>
      </c>
      <c r="AB15" s="281">
        <f t="shared" si="3"/>
        <v>9863.6984660176076</v>
      </c>
      <c r="AC15" s="281">
        <f t="shared" si="3"/>
        <v>10060.972435337961</v>
      </c>
      <c r="AD15" s="111">
        <f>SUM(R15:AC15)</f>
        <v>108526.18084829989</v>
      </c>
      <c r="AE15" s="290">
        <f>IF(AD13=0,0,AD15/AD13)</f>
        <v>0.78571428571428581</v>
      </c>
      <c r="AF15" s="289">
        <f>IF($AD$49=0,0,AD15/$AD$49)</f>
        <v>0.61990923026058731</v>
      </c>
    </row>
    <row r="16" spans="1:32" x14ac:dyDescent="0.15">
      <c r="A16" s="113"/>
      <c r="B16" s="272"/>
      <c r="C16" s="114"/>
      <c r="D16" s="115"/>
      <c r="E16" s="115"/>
      <c r="F16" s="115"/>
      <c r="G16" s="115"/>
      <c r="H16" s="115"/>
      <c r="I16" s="115"/>
      <c r="J16" s="115"/>
      <c r="K16" s="115"/>
      <c r="L16" s="115"/>
      <c r="M16" s="115"/>
      <c r="N16" s="115"/>
      <c r="O16" s="116"/>
      <c r="P16" s="7"/>
      <c r="Q16" s="109"/>
      <c r="R16" s="114"/>
      <c r="S16" s="115"/>
      <c r="T16" s="115"/>
      <c r="U16" s="115"/>
      <c r="V16" s="115"/>
      <c r="W16" s="115"/>
      <c r="X16" s="115"/>
      <c r="Y16" s="115"/>
      <c r="Z16" s="115"/>
      <c r="AA16" s="115"/>
      <c r="AB16" s="115"/>
      <c r="AC16" s="115"/>
      <c r="AD16" s="116"/>
      <c r="AE16" s="7"/>
      <c r="AF16" s="109"/>
    </row>
    <row r="17" spans="1:32" x14ac:dyDescent="0.15">
      <c r="A17" s="117" t="str">
        <f>'3a-SalesForecastYear1'!B23</f>
        <v>Coffee</v>
      </c>
      <c r="B17" s="117"/>
      <c r="C17" s="118"/>
      <c r="D17" s="118"/>
      <c r="E17" s="118"/>
      <c r="F17" s="118"/>
      <c r="G17" s="118"/>
      <c r="H17" s="118"/>
      <c r="I17" s="118"/>
      <c r="J17" s="118"/>
      <c r="K17" s="118"/>
      <c r="L17" s="118"/>
      <c r="M17" s="118"/>
      <c r="N17" s="118"/>
      <c r="O17" s="119"/>
      <c r="P17" s="7"/>
      <c r="Q17" s="109"/>
      <c r="R17" s="118"/>
      <c r="S17" s="118"/>
      <c r="T17" s="118"/>
      <c r="U17" s="118"/>
      <c r="V17" s="118"/>
      <c r="W17" s="118"/>
      <c r="X17" s="118"/>
      <c r="Y17" s="118"/>
      <c r="Z17" s="118"/>
      <c r="AA17" s="118"/>
      <c r="AB17" s="118"/>
      <c r="AC17" s="118"/>
      <c r="AD17" s="119"/>
      <c r="AE17" s="7"/>
      <c r="AF17" s="109"/>
    </row>
    <row r="18" spans="1:32" x14ac:dyDescent="0.15">
      <c r="A18" s="107" t="str">
        <f>Unit2&amp; " Sold"</f>
        <v>7500 Sold</v>
      </c>
      <c r="B18" s="107">
        <f>Unit2_Annual</f>
        <v>7530.7146384393254</v>
      </c>
      <c r="C18" s="279">
        <f>'3a-SalesForecastYear1'!N24</f>
        <v>774.09826683072708</v>
      </c>
      <c r="D18" s="279">
        <f>C18+C18*$C$7</f>
        <v>797.3212148356489</v>
      </c>
      <c r="E18" s="279">
        <f t="shared" ref="E18" si="4">D18+D18*$C$7</f>
        <v>821.2408512807184</v>
      </c>
      <c r="F18" s="279">
        <f t="shared" ref="F18" si="5">E18+E18*$C$7</f>
        <v>845.87807681914001</v>
      </c>
      <c r="G18" s="279">
        <f t="shared" ref="G18" si="6">F18+F18*$C$7</f>
        <v>871.25441912371423</v>
      </c>
      <c r="H18" s="279">
        <f t="shared" ref="H18" si="7">G18+G18*$C$7</f>
        <v>897.3920516974257</v>
      </c>
      <c r="I18" s="279">
        <f t="shared" ref="I18" si="8">H18+H18*$C$7</f>
        <v>924.31381324834842</v>
      </c>
      <c r="J18" s="279">
        <f t="shared" ref="J18" si="9">I18+I18*$C$7</f>
        <v>952.04322764579888</v>
      </c>
      <c r="K18" s="279">
        <f t="shared" ref="K18" si="10">J18+J18*$C$7</f>
        <v>980.60452447517287</v>
      </c>
      <c r="L18" s="279">
        <f t="shared" ref="L18" si="11">K18+K18*$C$7</f>
        <v>1010.0226602094281</v>
      </c>
      <c r="M18" s="279">
        <f t="shared" ref="M18" si="12">L18+L18*$C$7</f>
        <v>1040.323340015711</v>
      </c>
      <c r="N18" s="279">
        <f t="shared" ref="N18" si="13">M18+M18*$C$7</f>
        <v>1071.5330402161824</v>
      </c>
      <c r="O18" s="298">
        <f>SUM(C18:N18)</f>
        <v>10986.025486398015</v>
      </c>
      <c r="P18" s="7"/>
      <c r="Q18" s="289">
        <f>IF($O$46=0,0,O18/$O$46)</f>
        <v>0.32807807807807798</v>
      </c>
      <c r="R18" s="279">
        <f>N18</f>
        <v>1071.5330402161824</v>
      </c>
      <c r="S18" s="279">
        <f>R18+R18*$C$8</f>
        <v>1092.9637010205061</v>
      </c>
      <c r="T18" s="279">
        <f t="shared" ref="T18" si="14">S18+S18*$C$8</f>
        <v>1114.8229750409162</v>
      </c>
      <c r="U18" s="279">
        <f t="shared" ref="U18" si="15">T18+T18*$C$8</f>
        <v>1137.1194345417346</v>
      </c>
      <c r="V18" s="279">
        <f t="shared" ref="V18" si="16">U18+U18*$C$8</f>
        <v>1159.8618232325693</v>
      </c>
      <c r="W18" s="279">
        <f t="shared" ref="W18" si="17">V18+V18*$C$8</f>
        <v>1183.0590596972208</v>
      </c>
      <c r="X18" s="279">
        <f t="shared" ref="X18" si="18">W18+W18*$C$8</f>
        <v>1206.7202408911653</v>
      </c>
      <c r="Y18" s="279">
        <f t="shared" ref="Y18" si="19">X18+X18*$C$8</f>
        <v>1230.8546457089885</v>
      </c>
      <c r="Z18" s="279">
        <f t="shared" ref="Z18" si="20">Y18+Y18*$C$8</f>
        <v>1255.4717386231682</v>
      </c>
      <c r="AA18" s="279">
        <f t="shared" ref="AA18" si="21">Z18+Z18*$C$8</f>
        <v>1280.5811733956316</v>
      </c>
      <c r="AB18" s="279">
        <f t="shared" ref="AB18" si="22">AA18+AA18*$C$8</f>
        <v>1306.1927968635441</v>
      </c>
      <c r="AC18" s="279">
        <f t="shared" ref="AC18" si="23">AB18+AB18*$C$8</f>
        <v>1332.3166528008151</v>
      </c>
      <c r="AD18" s="298">
        <f>SUM(R18:AC18)</f>
        <v>14371.497282032442</v>
      </c>
      <c r="AE18" s="7"/>
      <c r="AF18" s="289">
        <f>IF($AD$46=0,0,AD18/$AD$46)</f>
        <v>0.32807807807807809</v>
      </c>
    </row>
    <row r="19" spans="1:32" x14ac:dyDescent="0.15">
      <c r="A19" s="120" t="s">
        <v>109</v>
      </c>
      <c r="B19" s="275">
        <f>Category2_Annual_Sales</f>
        <v>30122.858553757302</v>
      </c>
      <c r="C19" s="281">
        <f>+C18*'3a-SalesForecastYear1'!$D$10</f>
        <v>3096.3930673229083</v>
      </c>
      <c r="D19" s="281">
        <f>+D18*'3a-SalesForecastYear1'!$D$10</f>
        <v>3189.2848593425956</v>
      </c>
      <c r="E19" s="281">
        <f>+E18*'3a-SalesForecastYear1'!$D$10</f>
        <v>3284.9634051228736</v>
      </c>
      <c r="F19" s="281">
        <f>+F18*'3a-SalesForecastYear1'!$D$10</f>
        <v>3383.51230727656</v>
      </c>
      <c r="G19" s="281">
        <f>+G18*'3a-SalesForecastYear1'!$D$10</f>
        <v>3485.0176764948569</v>
      </c>
      <c r="H19" s="281">
        <f>+H18*'3a-SalesForecastYear1'!$D$10</f>
        <v>3589.5682067897028</v>
      </c>
      <c r="I19" s="281">
        <f>+I18*'3a-SalesForecastYear1'!$D$10</f>
        <v>3697.2552529933937</v>
      </c>
      <c r="J19" s="281">
        <f>+J18*'3a-SalesForecastYear1'!$D$10</f>
        <v>3808.1729105831955</v>
      </c>
      <c r="K19" s="281">
        <f>+K18*'3a-SalesForecastYear1'!$D$10</f>
        <v>3922.4180979006915</v>
      </c>
      <c r="L19" s="281">
        <f>+L18*'3a-SalesForecastYear1'!$D$10</f>
        <v>4040.0906408377123</v>
      </c>
      <c r="M19" s="281">
        <f>+M18*'3a-SalesForecastYear1'!$D$10</f>
        <v>4161.2933600628439</v>
      </c>
      <c r="N19" s="281">
        <f>+N18*'3a-SalesForecastYear1'!$D$10</f>
        <v>4286.1321608647295</v>
      </c>
      <c r="O19" s="121">
        <f>SUM(C19:N19)</f>
        <v>43944.101945592061</v>
      </c>
      <c r="P19" s="290">
        <f>(P20+P21)</f>
        <v>0.99999999999999978</v>
      </c>
      <c r="Q19" s="289">
        <f>IF($O$47=0,0,O19/$O$47)</f>
        <v>0.26146137162515892</v>
      </c>
      <c r="R19" s="281">
        <f>+R18*'3a-SalesForecastYear1'!$D$10</f>
        <v>4286.1321608647295</v>
      </c>
      <c r="S19" s="281">
        <f>+S18*'3a-SalesForecastYear1'!$D$10</f>
        <v>4371.8548040820242</v>
      </c>
      <c r="T19" s="281">
        <f>+T18*'3a-SalesForecastYear1'!$D$10</f>
        <v>4459.2919001636646</v>
      </c>
      <c r="U19" s="281">
        <f>+U18*'3a-SalesForecastYear1'!$D$10</f>
        <v>4548.4777381669383</v>
      </c>
      <c r="V19" s="281">
        <f>+V18*'3a-SalesForecastYear1'!$D$10</f>
        <v>4639.4472929302774</v>
      </c>
      <c r="W19" s="281">
        <f>+W18*'3a-SalesForecastYear1'!$D$10</f>
        <v>4732.2362387888834</v>
      </c>
      <c r="X19" s="281">
        <f>+X18*'3a-SalesForecastYear1'!$D$10</f>
        <v>4826.8809635646612</v>
      </c>
      <c r="Y19" s="281">
        <f>+Y18*'3a-SalesForecastYear1'!$D$10</f>
        <v>4923.4185828359541</v>
      </c>
      <c r="Z19" s="281">
        <f>+Z18*'3a-SalesForecastYear1'!$D$10</f>
        <v>5021.8869544926729</v>
      </c>
      <c r="AA19" s="281">
        <f>+AA18*'3a-SalesForecastYear1'!$D$10</f>
        <v>5122.3246935825264</v>
      </c>
      <c r="AB19" s="281">
        <f>+AB18*'3a-SalesForecastYear1'!$D$10</f>
        <v>5224.7711874541765</v>
      </c>
      <c r="AC19" s="281">
        <f>+AC18*'3a-SalesForecastYear1'!$D$10</f>
        <v>5329.2666112032603</v>
      </c>
      <c r="AD19" s="121">
        <f>SUM(R19:AC19)</f>
        <v>57485.989128129768</v>
      </c>
      <c r="AE19" s="290">
        <f>(AE20+AE21)</f>
        <v>1</v>
      </c>
      <c r="AF19" s="289">
        <f>IF($AD$47=0,0,AD19/$AD$47)</f>
        <v>0.26146137162515898</v>
      </c>
    </row>
    <row r="20" spans="1:32" x14ac:dyDescent="0.15">
      <c r="A20" s="120" t="s">
        <v>214</v>
      </c>
      <c r="B20" s="275">
        <f>'3a-SalesForecastYear1'!O26</f>
        <v>5422.114539676315</v>
      </c>
      <c r="C20" s="281">
        <f>+C18*'3a-SalesForecastYear1'!$E$10</f>
        <v>557.35075211812352</v>
      </c>
      <c r="D20" s="281">
        <f>+D18*'3a-SalesForecastYear1'!$E$10</f>
        <v>574.07127468166721</v>
      </c>
      <c r="E20" s="281">
        <f>+E18*'3a-SalesForecastYear1'!$E$10</f>
        <v>591.29341292211723</v>
      </c>
      <c r="F20" s="281">
        <f>+F18*'3a-SalesForecastYear1'!$E$10</f>
        <v>609.03221530978078</v>
      </c>
      <c r="G20" s="281">
        <f>+G18*'3a-SalesForecastYear1'!$E$10</f>
        <v>627.30318176907417</v>
      </c>
      <c r="H20" s="281">
        <f>+H18*'3a-SalesForecastYear1'!$E$10</f>
        <v>646.12227722214652</v>
      </c>
      <c r="I20" s="281">
        <f>+I18*'3a-SalesForecastYear1'!$E$10</f>
        <v>665.50594553881081</v>
      </c>
      <c r="J20" s="281">
        <f>+J18*'3a-SalesForecastYear1'!$E$10</f>
        <v>685.47112390497512</v>
      </c>
      <c r="K20" s="281">
        <f>+K18*'3a-SalesForecastYear1'!$E$10</f>
        <v>706.03525762212439</v>
      </c>
      <c r="L20" s="281">
        <f>+L18*'3a-SalesForecastYear1'!$E$10</f>
        <v>727.21631535078814</v>
      </c>
      <c r="M20" s="281">
        <f>+M18*'3a-SalesForecastYear1'!$E$10</f>
        <v>749.03280481131185</v>
      </c>
      <c r="N20" s="281">
        <f>+N18*'3a-SalesForecastYear1'!$E$10</f>
        <v>771.50378895565132</v>
      </c>
      <c r="O20" s="121">
        <f>SUM(C20:N20)</f>
        <v>7909.9383502065702</v>
      </c>
      <c r="P20" s="290">
        <f>IF(O19=0,0,O20/O19)</f>
        <v>0.18</v>
      </c>
      <c r="Q20" s="289">
        <f>IF($O$48=0,0,O20/$O$48)</f>
        <v>0.23098947244776602</v>
      </c>
      <c r="R20" s="281">
        <f>+R18*'3a-SalesForecastYear1'!$E$10</f>
        <v>771.50378895565132</v>
      </c>
      <c r="S20" s="281">
        <f>+S18*'3a-SalesForecastYear1'!$E$10</f>
        <v>786.93386473476437</v>
      </c>
      <c r="T20" s="281">
        <f>+T18*'3a-SalesForecastYear1'!$E$10</f>
        <v>802.67254202945958</v>
      </c>
      <c r="U20" s="281">
        <f>+U18*'3a-SalesForecastYear1'!$E$10</f>
        <v>818.7259928700488</v>
      </c>
      <c r="V20" s="281">
        <f>+V18*'3a-SalesForecastYear1'!$E$10</f>
        <v>835.10051272744988</v>
      </c>
      <c r="W20" s="281">
        <f>+W18*'3a-SalesForecastYear1'!$E$10</f>
        <v>851.802522981999</v>
      </c>
      <c r="X20" s="281">
        <f>+X18*'3a-SalesForecastYear1'!$E$10</f>
        <v>868.83857344163903</v>
      </c>
      <c r="Y20" s="281">
        <f>+Y18*'3a-SalesForecastYear1'!$E$10</f>
        <v>886.21534491047169</v>
      </c>
      <c r="Z20" s="281">
        <f>+Z18*'3a-SalesForecastYear1'!$E$10</f>
        <v>903.93965180868111</v>
      </c>
      <c r="AA20" s="281">
        <f>+AA18*'3a-SalesForecastYear1'!$E$10</f>
        <v>922.01844484485468</v>
      </c>
      <c r="AB20" s="281">
        <f>+AB18*'3a-SalesForecastYear1'!$E$10</f>
        <v>940.45881374175178</v>
      </c>
      <c r="AC20" s="281">
        <f>+AC18*'3a-SalesForecastYear1'!$E$10</f>
        <v>959.26799001658685</v>
      </c>
      <c r="AD20" s="121">
        <f>SUM(R20:AC20)</f>
        <v>10347.47804306336</v>
      </c>
      <c r="AE20" s="290">
        <f>IF(AD19=0,0,AD20/AD19)</f>
        <v>0.18000000000000002</v>
      </c>
      <c r="AF20" s="289">
        <f>IF($AD$48=0,0,AD20/$AD$48)</f>
        <v>0.2309894724477661</v>
      </c>
    </row>
    <row r="21" spans="1:32" x14ac:dyDescent="0.15">
      <c r="A21" s="112" t="s">
        <v>107</v>
      </c>
      <c r="B21" s="276">
        <f>'3a-SalesForecastYear1'!O27</f>
        <v>24700.744014080985</v>
      </c>
      <c r="C21" s="281">
        <f>C19-C20</f>
        <v>2539.0423152047847</v>
      </c>
      <c r="D21" s="281">
        <f t="shared" ref="D21:N21" si="24">D19-D20</f>
        <v>2615.2135846609285</v>
      </c>
      <c r="E21" s="281">
        <f t="shared" si="24"/>
        <v>2693.6699922007565</v>
      </c>
      <c r="F21" s="281">
        <f t="shared" si="24"/>
        <v>2774.4800919667791</v>
      </c>
      <c r="G21" s="281">
        <f t="shared" si="24"/>
        <v>2857.714494725783</v>
      </c>
      <c r="H21" s="281">
        <f t="shared" si="24"/>
        <v>2943.445929567556</v>
      </c>
      <c r="I21" s="281">
        <f t="shared" si="24"/>
        <v>3031.7493074545828</v>
      </c>
      <c r="J21" s="281">
        <f t="shared" si="24"/>
        <v>3122.7017866782203</v>
      </c>
      <c r="K21" s="281">
        <f t="shared" si="24"/>
        <v>3216.3828402785671</v>
      </c>
      <c r="L21" s="281">
        <f t="shared" si="24"/>
        <v>3312.8743254869241</v>
      </c>
      <c r="M21" s="281">
        <f t="shared" si="24"/>
        <v>3412.260555251532</v>
      </c>
      <c r="N21" s="281">
        <f t="shared" si="24"/>
        <v>3514.6283719090779</v>
      </c>
      <c r="O21" s="121">
        <f>SUM(C21:N21)</f>
        <v>36034.163595385486</v>
      </c>
      <c r="P21" s="290">
        <f>IF(O19=0,0,O21/O19)</f>
        <v>0.81999999999999984</v>
      </c>
      <c r="Q21" s="289">
        <f>IF($O$49=0,0,O21/$O$49)</f>
        <v>0.26925851342009555</v>
      </c>
      <c r="R21" s="281">
        <f>R19-R20</f>
        <v>3514.6283719090779</v>
      </c>
      <c r="S21" s="281">
        <f t="shared" ref="S21:AC21" si="25">S19-S20</f>
        <v>3584.9209393472597</v>
      </c>
      <c r="T21" s="281">
        <f t="shared" si="25"/>
        <v>3656.619358134205</v>
      </c>
      <c r="U21" s="281">
        <f t="shared" si="25"/>
        <v>3729.7517452968896</v>
      </c>
      <c r="V21" s="281">
        <f t="shared" si="25"/>
        <v>3804.3467802028276</v>
      </c>
      <c r="W21" s="281">
        <f t="shared" si="25"/>
        <v>3880.4337158068843</v>
      </c>
      <c r="X21" s="281">
        <f t="shared" si="25"/>
        <v>3958.0423901230224</v>
      </c>
      <c r="Y21" s="281">
        <f t="shared" si="25"/>
        <v>4037.2032379254824</v>
      </c>
      <c r="Z21" s="281">
        <f t="shared" si="25"/>
        <v>4117.9473026839914</v>
      </c>
      <c r="AA21" s="281">
        <f t="shared" si="25"/>
        <v>4200.3062487376719</v>
      </c>
      <c r="AB21" s="281">
        <f t="shared" si="25"/>
        <v>4284.3123737124242</v>
      </c>
      <c r="AC21" s="281">
        <f t="shared" si="25"/>
        <v>4369.9986211866735</v>
      </c>
      <c r="AD21" s="121">
        <f>SUM(R21:AC21)</f>
        <v>47138.511085066413</v>
      </c>
      <c r="AE21" s="290">
        <f>IF(AD19=0,0,AD21/AD19)</f>
        <v>0.82000000000000006</v>
      </c>
      <c r="AF21" s="289">
        <f>IF($AD$49=0,0,AD21/$AD$49)</f>
        <v>0.26925851342009566</v>
      </c>
    </row>
    <row r="22" spans="1:32" x14ac:dyDescent="0.15">
      <c r="A22" s="113"/>
      <c r="B22" s="272"/>
      <c r="C22" s="115"/>
      <c r="D22" s="115"/>
      <c r="E22" s="115"/>
      <c r="F22" s="115"/>
      <c r="G22" s="115"/>
      <c r="H22" s="115"/>
      <c r="I22" s="115"/>
      <c r="J22" s="115"/>
      <c r="K22" s="115"/>
      <c r="L22" s="115"/>
      <c r="M22" s="115"/>
      <c r="N22" s="115"/>
      <c r="O22" s="116"/>
      <c r="P22" s="7"/>
      <c r="Q22" s="109"/>
      <c r="R22" s="115"/>
      <c r="S22" s="115"/>
      <c r="T22" s="115"/>
      <c r="U22" s="115"/>
      <c r="V22" s="115"/>
      <c r="W22" s="115"/>
      <c r="X22" s="115"/>
      <c r="Y22" s="115"/>
      <c r="Z22" s="115"/>
      <c r="AA22" s="115"/>
      <c r="AB22" s="115"/>
      <c r="AC22" s="115"/>
      <c r="AD22" s="116"/>
      <c r="AE22" s="7"/>
      <c r="AF22" s="109"/>
    </row>
    <row r="23" spans="1:32" x14ac:dyDescent="0.15">
      <c r="A23" s="117" t="str">
        <f>'3a-SalesForecastYear1'!B29</f>
        <v>Sodas</v>
      </c>
      <c r="B23" s="117"/>
      <c r="C23" s="122"/>
      <c r="D23" s="122"/>
      <c r="E23" s="122"/>
      <c r="F23" s="122"/>
      <c r="G23" s="122"/>
      <c r="H23" s="122"/>
      <c r="I23" s="122"/>
      <c r="J23" s="122"/>
      <c r="K23" s="122"/>
      <c r="L23" s="122"/>
      <c r="M23" s="122"/>
      <c r="N23" s="122"/>
      <c r="O23" s="119"/>
      <c r="P23" s="7"/>
      <c r="Q23" s="109"/>
      <c r="R23" s="122"/>
      <c r="S23" s="122"/>
      <c r="T23" s="122"/>
      <c r="U23" s="122"/>
      <c r="V23" s="122"/>
      <c r="W23" s="122"/>
      <c r="X23" s="122"/>
      <c r="Y23" s="122"/>
      <c r="Z23" s="122"/>
      <c r="AA23" s="122"/>
      <c r="AB23" s="122"/>
      <c r="AC23" s="122"/>
      <c r="AD23" s="119"/>
      <c r="AE23" s="7"/>
      <c r="AF23" s="109"/>
    </row>
    <row r="24" spans="1:32" x14ac:dyDescent="0.15">
      <c r="A24" s="107" t="str">
        <f>Unit3&amp; " Sold"</f>
        <v>5000 Sold</v>
      </c>
      <c r="B24" s="107">
        <f>Unit3_Annual</f>
        <v>5083.6631998617877</v>
      </c>
      <c r="C24" s="279">
        <f>'3a-SalesForecastYear1'!N30</f>
        <v>522.56061490861441</v>
      </c>
      <c r="D24" s="279">
        <f>C24+C24*$C$7</f>
        <v>538.23743335587289</v>
      </c>
      <c r="E24" s="279">
        <f t="shared" ref="E24" si="26">D24+D24*$C$7</f>
        <v>554.38455635654907</v>
      </c>
      <c r="F24" s="279">
        <f t="shared" ref="F24" si="27">E24+E24*$C$7</f>
        <v>571.01609304724559</v>
      </c>
      <c r="G24" s="279">
        <f t="shared" ref="G24" si="28">F24+F24*$C$7</f>
        <v>588.14657583866301</v>
      </c>
      <c r="H24" s="279">
        <f t="shared" ref="H24" si="29">G24+G24*$C$7</f>
        <v>605.79097311382293</v>
      </c>
      <c r="I24" s="279">
        <f t="shared" ref="I24" si="30">H24+H24*$C$7</f>
        <v>623.96470230723764</v>
      </c>
      <c r="J24" s="279">
        <f t="shared" ref="J24" si="31">I24+I24*$C$7</f>
        <v>642.68364337645482</v>
      </c>
      <c r="K24" s="279">
        <f t="shared" ref="K24" si="32">J24+J24*$C$7</f>
        <v>661.96415267774842</v>
      </c>
      <c r="L24" s="279">
        <f t="shared" ref="L24" si="33">K24+K24*$C$7</f>
        <v>681.82307725808084</v>
      </c>
      <c r="M24" s="279">
        <f t="shared" ref="M24" si="34">L24+L24*$C$7</f>
        <v>702.2777695758233</v>
      </c>
      <c r="N24" s="279">
        <f t="shared" ref="N24" si="35">M24+M24*$C$7</f>
        <v>723.34610266309801</v>
      </c>
      <c r="O24" s="298">
        <f>SUM(C24:N24)</f>
        <v>7416.1956944792109</v>
      </c>
      <c r="P24" s="7"/>
      <c r="Q24" s="289">
        <f>IF($O$46=0,0,O24/$O$46)</f>
        <v>0.22147147147147148</v>
      </c>
      <c r="R24" s="279">
        <f>N24</f>
        <v>723.34610266309801</v>
      </c>
      <c r="S24" s="279">
        <f>R24+R24*$C$8</f>
        <v>737.81302471636002</v>
      </c>
      <c r="T24" s="279">
        <f t="shared" ref="T24" si="36">S24+S24*$C$8</f>
        <v>752.56928521068721</v>
      </c>
      <c r="U24" s="279">
        <f t="shared" ref="U24" si="37">T24+T24*$C$8</f>
        <v>767.62067091490098</v>
      </c>
      <c r="V24" s="279">
        <f t="shared" ref="V24" si="38">U24+U24*$C$8</f>
        <v>782.97308433319904</v>
      </c>
      <c r="W24" s="279">
        <f t="shared" ref="W24" si="39">V24+V24*$C$8</f>
        <v>798.63254601986307</v>
      </c>
      <c r="X24" s="279">
        <f t="shared" ref="X24" si="40">W24+W24*$C$8</f>
        <v>814.60519694026038</v>
      </c>
      <c r="Y24" s="279">
        <f t="shared" ref="Y24" si="41">X24+X24*$C$8</f>
        <v>830.8973008790656</v>
      </c>
      <c r="Z24" s="279">
        <f t="shared" ref="Z24" si="42">Y24+Y24*$C$8</f>
        <v>847.51524689664689</v>
      </c>
      <c r="AA24" s="279">
        <f t="shared" ref="AA24" si="43">Z24+Z24*$C$8</f>
        <v>864.46555183457986</v>
      </c>
      <c r="AB24" s="279">
        <f t="shared" ref="AB24" si="44">AA24+AA24*$C$8</f>
        <v>881.75486287127148</v>
      </c>
      <c r="AC24" s="279">
        <f t="shared" ref="AC24" si="45">AB24+AB24*$C$8</f>
        <v>899.38996012869688</v>
      </c>
      <c r="AD24" s="298">
        <f>SUM(R24:AC24)</f>
        <v>9701.5828334086309</v>
      </c>
      <c r="AE24" s="7"/>
      <c r="AF24" s="289">
        <f>IF($AD$46=0,0,AD24/$AD$46)</f>
        <v>0.22147147147147156</v>
      </c>
    </row>
    <row r="25" spans="1:32" x14ac:dyDescent="0.15">
      <c r="A25" s="120" t="s">
        <v>109</v>
      </c>
      <c r="B25" s="277">
        <f>Category3_Annual_Sales</f>
        <v>12709.15799965447</v>
      </c>
      <c r="C25" s="281">
        <f>+C24*'3a-SalesForecastYear1'!$D$11</f>
        <v>1306.401537271536</v>
      </c>
      <c r="D25" s="281">
        <f>+D24*'3a-SalesForecastYear1'!$D$11</f>
        <v>1345.5935833896822</v>
      </c>
      <c r="E25" s="281">
        <f>+E24*'3a-SalesForecastYear1'!$D$11</f>
        <v>1385.9613908913727</v>
      </c>
      <c r="F25" s="281">
        <f>+F24*'3a-SalesForecastYear1'!$D$11</f>
        <v>1427.540232618114</v>
      </c>
      <c r="G25" s="281">
        <f>+G24*'3a-SalesForecastYear1'!$D$11</f>
        <v>1470.3664395966575</v>
      </c>
      <c r="H25" s="281">
        <f>+H24*'3a-SalesForecastYear1'!$D$11</f>
        <v>1514.4774327845573</v>
      </c>
      <c r="I25" s="281">
        <f>+I24*'3a-SalesForecastYear1'!$D$11</f>
        <v>1559.9117557680941</v>
      </c>
      <c r="J25" s="281">
        <f>+J24*'3a-SalesForecastYear1'!$D$11</f>
        <v>1606.709108441137</v>
      </c>
      <c r="K25" s="281">
        <f>+K24*'3a-SalesForecastYear1'!$D$11</f>
        <v>1654.9103816943712</v>
      </c>
      <c r="L25" s="281">
        <f>+L24*'3a-SalesForecastYear1'!$D$11</f>
        <v>1704.5576931452022</v>
      </c>
      <c r="M25" s="281">
        <f>+M24*'3a-SalesForecastYear1'!$D$11</f>
        <v>1755.6944239395582</v>
      </c>
      <c r="N25" s="281">
        <f>+N24*'3a-SalesForecastYear1'!$D$11</f>
        <v>1808.365256657745</v>
      </c>
      <c r="O25" s="121">
        <f>SUM(C25:N25)</f>
        <v>18540.489236198027</v>
      </c>
      <c r="P25" s="290">
        <f>(P26+P27)</f>
        <v>1</v>
      </c>
      <c r="Q25" s="289">
        <f>IF($O$47=0,0,O25/$O$47)</f>
        <v>0.11031336474459652</v>
      </c>
      <c r="R25" s="281">
        <f>+R24*'3a-SalesForecastYear1'!$D$11</f>
        <v>1808.365256657745</v>
      </c>
      <c r="S25" s="281">
        <f>+S24*'3a-SalesForecastYear1'!$D$11</f>
        <v>1844.5325617909</v>
      </c>
      <c r="T25" s="281">
        <f>+T24*'3a-SalesForecastYear1'!$D$11</f>
        <v>1881.423213026718</v>
      </c>
      <c r="U25" s="281">
        <f>+U24*'3a-SalesForecastYear1'!$D$11</f>
        <v>1919.0516772872525</v>
      </c>
      <c r="V25" s="281">
        <f>+V24*'3a-SalesForecastYear1'!$D$11</f>
        <v>1957.4327108329976</v>
      </c>
      <c r="W25" s="281">
        <f>+W24*'3a-SalesForecastYear1'!$D$11</f>
        <v>1996.5813650496577</v>
      </c>
      <c r="X25" s="281">
        <f>+X24*'3a-SalesForecastYear1'!$D$11</f>
        <v>2036.5129923506511</v>
      </c>
      <c r="Y25" s="281">
        <f>+Y24*'3a-SalesForecastYear1'!$D$11</f>
        <v>2077.2432521976639</v>
      </c>
      <c r="Z25" s="281">
        <f>+Z24*'3a-SalesForecastYear1'!$D$11</f>
        <v>2118.7881172416173</v>
      </c>
      <c r="AA25" s="281">
        <f>+AA24*'3a-SalesForecastYear1'!$D$11</f>
        <v>2161.1638795864496</v>
      </c>
      <c r="AB25" s="281">
        <f>+AB24*'3a-SalesForecastYear1'!$D$11</f>
        <v>2204.3871571781788</v>
      </c>
      <c r="AC25" s="281">
        <f>+AC24*'3a-SalesForecastYear1'!$D$11</f>
        <v>2248.4749003217421</v>
      </c>
      <c r="AD25" s="121">
        <f>SUM(R25:AC25)</f>
        <v>24253.957083521578</v>
      </c>
      <c r="AE25" s="290">
        <f>(AE26+AE27)</f>
        <v>0.99999999999999989</v>
      </c>
      <c r="AF25" s="289">
        <f>IF($AD$47=0,0,AD25/$AD$47)</f>
        <v>0.11031336474459659</v>
      </c>
    </row>
    <row r="26" spans="1:32" x14ac:dyDescent="0.15">
      <c r="A26" s="120" t="s">
        <v>214</v>
      </c>
      <c r="B26" s="277">
        <f>'3a-SalesForecastYear1'!O32</f>
        <v>2541.8315999308938</v>
      </c>
      <c r="C26" s="281">
        <f>+C24*'3a-SalesForecastYear1'!$E$11</f>
        <v>261.28030745430721</v>
      </c>
      <c r="D26" s="281">
        <f>+D24*'3a-SalesForecastYear1'!$E$11</f>
        <v>269.11871667793645</v>
      </c>
      <c r="E26" s="281">
        <f>+E24*'3a-SalesForecastYear1'!$E$11</f>
        <v>277.19227817827453</v>
      </c>
      <c r="F26" s="281">
        <f>+F24*'3a-SalesForecastYear1'!$E$11</f>
        <v>285.5080465236228</v>
      </c>
      <c r="G26" s="281">
        <f>+G24*'3a-SalesForecastYear1'!$E$11</f>
        <v>294.07328791933151</v>
      </c>
      <c r="H26" s="281">
        <f>+H24*'3a-SalesForecastYear1'!$E$11</f>
        <v>302.89548655691146</v>
      </c>
      <c r="I26" s="281">
        <f>+I24*'3a-SalesForecastYear1'!$E$11</f>
        <v>311.98235115361882</v>
      </c>
      <c r="J26" s="281">
        <f>+J24*'3a-SalesForecastYear1'!$E$11</f>
        <v>321.34182168822741</v>
      </c>
      <c r="K26" s="281">
        <f>+K24*'3a-SalesForecastYear1'!$E$11</f>
        <v>330.98207633887421</v>
      </c>
      <c r="L26" s="281">
        <f>+L24*'3a-SalesForecastYear1'!$E$11</f>
        <v>340.91153862904042</v>
      </c>
      <c r="M26" s="281">
        <f>+M24*'3a-SalesForecastYear1'!$E$11</f>
        <v>351.13888478791165</v>
      </c>
      <c r="N26" s="281">
        <f>+N24*'3a-SalesForecastYear1'!$E$11</f>
        <v>361.673051331549</v>
      </c>
      <c r="O26" s="121">
        <f>SUM(C26:N26)</f>
        <v>3708.0978472396055</v>
      </c>
      <c r="P26" s="290">
        <f>IF(O25=0,0,O26/O25)</f>
        <v>0.2</v>
      </c>
      <c r="Q26" s="289">
        <f>IF($O$48=0,0,O26/$O$48)</f>
        <v>0.10828549194649599</v>
      </c>
      <c r="R26" s="281">
        <f>+R24*'3a-SalesForecastYear1'!$E$11</f>
        <v>361.673051331549</v>
      </c>
      <c r="S26" s="281">
        <f>+S24*'3a-SalesForecastYear1'!$E$11</f>
        <v>368.90651235818001</v>
      </c>
      <c r="T26" s="281">
        <f>+T24*'3a-SalesForecastYear1'!$E$11</f>
        <v>376.28464260534361</v>
      </c>
      <c r="U26" s="281">
        <f>+U24*'3a-SalesForecastYear1'!$E$11</f>
        <v>383.81033545745049</v>
      </c>
      <c r="V26" s="281">
        <f>+V24*'3a-SalesForecastYear1'!$E$11</f>
        <v>391.48654216659952</v>
      </c>
      <c r="W26" s="281">
        <f>+W24*'3a-SalesForecastYear1'!$E$11</f>
        <v>399.31627300993154</v>
      </c>
      <c r="X26" s="281">
        <f>+X24*'3a-SalesForecastYear1'!$E$11</f>
        <v>407.30259847013019</v>
      </c>
      <c r="Y26" s="281">
        <f>+Y24*'3a-SalesForecastYear1'!$E$11</f>
        <v>415.4486504395328</v>
      </c>
      <c r="Z26" s="281">
        <f>+Z24*'3a-SalesForecastYear1'!$E$11</f>
        <v>423.75762344832344</v>
      </c>
      <c r="AA26" s="281">
        <f>+AA24*'3a-SalesForecastYear1'!$E$11</f>
        <v>432.23277591728993</v>
      </c>
      <c r="AB26" s="281">
        <f>+AB24*'3a-SalesForecastYear1'!$E$11</f>
        <v>440.87743143563574</v>
      </c>
      <c r="AC26" s="281">
        <f>+AC24*'3a-SalesForecastYear1'!$E$11</f>
        <v>449.69498006434844</v>
      </c>
      <c r="AD26" s="121">
        <f>SUM(R26:AC26)</f>
        <v>4850.7914167043155</v>
      </c>
      <c r="AE26" s="290">
        <f>IF(AD25=0,0,AD26/AD25)</f>
        <v>0.19999999999999998</v>
      </c>
      <c r="AF26" s="289">
        <f>IF($AD$48=0,0,AD26/$AD$48)</f>
        <v>0.108285491946496</v>
      </c>
    </row>
    <row r="27" spans="1:32" x14ac:dyDescent="0.15">
      <c r="A27" s="112" t="s">
        <v>107</v>
      </c>
      <c r="B27" s="276">
        <f>'3a-SalesForecastYear1'!O33</f>
        <v>10167.326399723575</v>
      </c>
      <c r="C27" s="281">
        <f>C25-C26</f>
        <v>1045.1212298172288</v>
      </c>
      <c r="D27" s="281">
        <f t="shared" ref="D27:N27" si="46">D25-D26</f>
        <v>1076.4748667117458</v>
      </c>
      <c r="E27" s="281">
        <f t="shared" si="46"/>
        <v>1108.7691127130981</v>
      </c>
      <c r="F27" s="281">
        <f t="shared" si="46"/>
        <v>1142.0321860944912</v>
      </c>
      <c r="G27" s="281">
        <f t="shared" si="46"/>
        <v>1176.293151677326</v>
      </c>
      <c r="H27" s="281">
        <f t="shared" si="46"/>
        <v>1211.5819462276459</v>
      </c>
      <c r="I27" s="281">
        <f t="shared" si="46"/>
        <v>1247.9294046144753</v>
      </c>
      <c r="J27" s="281">
        <f t="shared" si="46"/>
        <v>1285.3672867529096</v>
      </c>
      <c r="K27" s="281">
        <f t="shared" si="46"/>
        <v>1323.9283053554968</v>
      </c>
      <c r="L27" s="281">
        <f t="shared" si="46"/>
        <v>1363.6461545161617</v>
      </c>
      <c r="M27" s="281">
        <f t="shared" si="46"/>
        <v>1404.5555391516466</v>
      </c>
      <c r="N27" s="281">
        <f t="shared" si="46"/>
        <v>1446.692205326196</v>
      </c>
      <c r="O27" s="121">
        <f>SUM(C27:N27)</f>
        <v>14832.391388958422</v>
      </c>
      <c r="P27" s="290">
        <f>IF(O25=0,0,O27/O25)</f>
        <v>0.8</v>
      </c>
      <c r="Q27" s="289">
        <f>IF($O$49=0,0,O27/$O$49)</f>
        <v>0.11083225631931713</v>
      </c>
      <c r="R27" s="281">
        <f>R25-R26</f>
        <v>1446.692205326196</v>
      </c>
      <c r="S27" s="281">
        <f t="shared" ref="S27:AC27" si="47">S25-S26</f>
        <v>1475.62604943272</v>
      </c>
      <c r="T27" s="281">
        <f t="shared" si="47"/>
        <v>1505.1385704213744</v>
      </c>
      <c r="U27" s="281">
        <f t="shared" si="47"/>
        <v>1535.241341829802</v>
      </c>
      <c r="V27" s="281">
        <f t="shared" si="47"/>
        <v>1565.9461686663981</v>
      </c>
      <c r="W27" s="281">
        <f t="shared" si="47"/>
        <v>1597.2650920397261</v>
      </c>
      <c r="X27" s="281">
        <f t="shared" si="47"/>
        <v>1629.2103938805208</v>
      </c>
      <c r="Y27" s="281">
        <f t="shared" si="47"/>
        <v>1661.7946017581312</v>
      </c>
      <c r="Z27" s="281">
        <f t="shared" si="47"/>
        <v>1695.0304937932938</v>
      </c>
      <c r="AA27" s="281">
        <f t="shared" si="47"/>
        <v>1728.9311036691597</v>
      </c>
      <c r="AB27" s="281">
        <f t="shared" si="47"/>
        <v>1763.509725742543</v>
      </c>
      <c r="AC27" s="281">
        <f t="shared" si="47"/>
        <v>1798.7799202573938</v>
      </c>
      <c r="AD27" s="121">
        <f>SUM(R27:AC27)</f>
        <v>19403.165666817262</v>
      </c>
      <c r="AE27" s="290">
        <f>IF(AD25=0,0,AD27/AD25)</f>
        <v>0.79999999999999993</v>
      </c>
      <c r="AF27" s="289">
        <f>IF($AD$49=0,0,AD27/$AD$49)</f>
        <v>0.11083225631931717</v>
      </c>
    </row>
    <row r="28" spans="1:32" x14ac:dyDescent="0.15">
      <c r="A28" s="123"/>
      <c r="B28" s="273"/>
      <c r="C28" s="115"/>
      <c r="D28" s="115"/>
      <c r="E28" s="115"/>
      <c r="F28" s="115"/>
      <c r="G28" s="115"/>
      <c r="H28" s="115"/>
      <c r="I28" s="115"/>
      <c r="J28" s="115"/>
      <c r="K28" s="115"/>
      <c r="L28" s="115"/>
      <c r="M28" s="115"/>
      <c r="N28" s="115"/>
      <c r="O28" s="116"/>
      <c r="P28" s="7"/>
      <c r="Q28" s="109"/>
      <c r="R28" s="115"/>
      <c r="S28" s="115"/>
      <c r="T28" s="115"/>
      <c r="U28" s="115"/>
      <c r="V28" s="115"/>
      <c r="W28" s="115"/>
      <c r="X28" s="115"/>
      <c r="Y28" s="115"/>
      <c r="Z28" s="115"/>
      <c r="AA28" s="115"/>
      <c r="AB28" s="115"/>
      <c r="AC28" s="115"/>
      <c r="AD28" s="116"/>
      <c r="AE28" s="7"/>
      <c r="AF28" s="109"/>
    </row>
    <row r="29" spans="1:32" x14ac:dyDescent="0.15">
      <c r="A29" s="117" t="str">
        <f>'3a-SalesForecastYear1'!B35</f>
        <v xml:space="preserve"> </v>
      </c>
      <c r="B29" s="117"/>
      <c r="C29" s="118"/>
      <c r="D29" s="118"/>
      <c r="E29" s="118"/>
      <c r="F29" s="118"/>
      <c r="G29" s="118"/>
      <c r="H29" s="118"/>
      <c r="I29" s="118"/>
      <c r="J29" s="118"/>
      <c r="K29" s="118"/>
      <c r="L29" s="118"/>
      <c r="M29" s="118"/>
      <c r="N29" s="118"/>
      <c r="O29" s="119"/>
      <c r="P29" s="7"/>
      <c r="Q29" s="109"/>
      <c r="R29" s="118"/>
      <c r="S29" s="118"/>
      <c r="T29" s="118"/>
      <c r="U29" s="118"/>
      <c r="V29" s="118"/>
      <c r="W29" s="118"/>
      <c r="X29" s="118"/>
      <c r="Y29" s="118"/>
      <c r="Z29" s="118"/>
      <c r="AA29" s="118"/>
      <c r="AB29" s="118"/>
      <c r="AC29" s="118"/>
      <c r="AD29" s="119"/>
      <c r="AE29" s="7"/>
      <c r="AF29" s="109"/>
    </row>
    <row r="30" spans="1:32" x14ac:dyDescent="0.15">
      <c r="A30" s="107" t="str">
        <f>Unit4&amp; " Sold"</f>
        <v xml:space="preserve"> Sold</v>
      </c>
      <c r="B30" s="107">
        <f>Unit4_Annual</f>
        <v>0</v>
      </c>
      <c r="C30" s="280">
        <f>'3a-SalesForecastYear1'!N36</f>
        <v>0</v>
      </c>
      <c r="D30" s="279">
        <f>C30+C30*$C$7</f>
        <v>0</v>
      </c>
      <c r="E30" s="279">
        <f t="shared" ref="E30" si="48">D30+D30*$C$7</f>
        <v>0</v>
      </c>
      <c r="F30" s="279">
        <f t="shared" ref="F30" si="49">E30+E30*$C$7</f>
        <v>0</v>
      </c>
      <c r="G30" s="279">
        <f t="shared" ref="G30" si="50">F30+F30*$C$7</f>
        <v>0</v>
      </c>
      <c r="H30" s="279">
        <f t="shared" ref="H30" si="51">G30+G30*$C$7</f>
        <v>0</v>
      </c>
      <c r="I30" s="279">
        <f t="shared" ref="I30" si="52">H30+H30*$C$7</f>
        <v>0</v>
      </c>
      <c r="J30" s="279">
        <f t="shared" ref="J30" si="53">I30+I30*$C$7</f>
        <v>0</v>
      </c>
      <c r="K30" s="279">
        <f t="shared" ref="K30" si="54">J30+J30*$C$7</f>
        <v>0</v>
      </c>
      <c r="L30" s="279">
        <f t="shared" ref="L30" si="55">K30+K30*$C$7</f>
        <v>0</v>
      </c>
      <c r="M30" s="279">
        <f t="shared" ref="M30" si="56">L30+L30*$C$7</f>
        <v>0</v>
      </c>
      <c r="N30" s="279">
        <f t="shared" ref="N30" si="57">M30+M30*$C$7</f>
        <v>0</v>
      </c>
      <c r="O30" s="298">
        <f>SUM(C30:N30)</f>
        <v>0</v>
      </c>
      <c r="P30" s="7"/>
      <c r="Q30" s="289">
        <f>IF($O$46=0,0,O30/$O$46)</f>
        <v>0</v>
      </c>
      <c r="R30" s="279">
        <f>N30</f>
        <v>0</v>
      </c>
      <c r="S30" s="279">
        <f>R30+R30*$C$8</f>
        <v>0</v>
      </c>
      <c r="T30" s="279">
        <f t="shared" ref="T30" si="58">S30+S30*$C$8</f>
        <v>0</v>
      </c>
      <c r="U30" s="279">
        <f t="shared" ref="U30" si="59">T30+T30*$C$8</f>
        <v>0</v>
      </c>
      <c r="V30" s="279">
        <f t="shared" ref="V30" si="60">U30+U30*$C$8</f>
        <v>0</v>
      </c>
      <c r="W30" s="279">
        <f t="shared" ref="W30" si="61">V30+V30*$C$8</f>
        <v>0</v>
      </c>
      <c r="X30" s="279">
        <f t="shared" ref="X30" si="62">W30+W30*$C$8</f>
        <v>0</v>
      </c>
      <c r="Y30" s="279">
        <f t="shared" ref="Y30" si="63">X30+X30*$C$8</f>
        <v>0</v>
      </c>
      <c r="Z30" s="279">
        <f t="shared" ref="Z30" si="64">Y30+Y30*$C$8</f>
        <v>0</v>
      </c>
      <c r="AA30" s="279">
        <f t="shared" ref="AA30" si="65">Z30+Z30*$C$8</f>
        <v>0</v>
      </c>
      <c r="AB30" s="279">
        <f t="shared" ref="AB30" si="66">AA30+AA30*$C$8</f>
        <v>0</v>
      </c>
      <c r="AC30" s="279">
        <f t="shared" ref="AC30" si="67">AB30+AB30*$C$8</f>
        <v>0</v>
      </c>
      <c r="AD30" s="298">
        <f>SUM(R30:AC30)</f>
        <v>0</v>
      </c>
      <c r="AE30" s="7"/>
      <c r="AF30" s="289">
        <f>IF($AD$46=0,0,AD30/$AD$46)</f>
        <v>0</v>
      </c>
    </row>
    <row r="31" spans="1:32" x14ac:dyDescent="0.15">
      <c r="A31" s="120" t="s">
        <v>109</v>
      </c>
      <c r="B31" s="120">
        <f>Category4_Annual_Sales</f>
        <v>0</v>
      </c>
      <c r="C31" s="281">
        <f>+C30*'3a-SalesForecastYear1'!$D$12</f>
        <v>0</v>
      </c>
      <c r="D31" s="281">
        <f>+D30*'3a-SalesForecastYear1'!$D$12</f>
        <v>0</v>
      </c>
      <c r="E31" s="281">
        <f>+E30*'3a-SalesForecastYear1'!$D$12</f>
        <v>0</v>
      </c>
      <c r="F31" s="281">
        <f>+F30*'3a-SalesForecastYear1'!$D$12</f>
        <v>0</v>
      </c>
      <c r="G31" s="281">
        <f>+G30*'3a-SalesForecastYear1'!$D$12</f>
        <v>0</v>
      </c>
      <c r="H31" s="281">
        <f>+H30*'3a-SalesForecastYear1'!$D$12</f>
        <v>0</v>
      </c>
      <c r="I31" s="281">
        <f>+I30*'3a-SalesForecastYear1'!$D$12</f>
        <v>0</v>
      </c>
      <c r="J31" s="281">
        <f>+J30*'3a-SalesForecastYear1'!$D$12</f>
        <v>0</v>
      </c>
      <c r="K31" s="281">
        <f>+K30*'3a-SalesForecastYear1'!$D$12</f>
        <v>0</v>
      </c>
      <c r="L31" s="281">
        <f>+L30*'3a-SalesForecastYear1'!$D$12</f>
        <v>0</v>
      </c>
      <c r="M31" s="281">
        <f>+M30*'3a-SalesForecastYear1'!$D$12</f>
        <v>0</v>
      </c>
      <c r="N31" s="281">
        <f>+N30*'3a-SalesForecastYear1'!$D$12</f>
        <v>0</v>
      </c>
      <c r="O31" s="111">
        <f>SUM(C31:N31)</f>
        <v>0</v>
      </c>
      <c r="P31" s="290">
        <f>(P32+P33)</f>
        <v>0</v>
      </c>
      <c r="Q31" s="289">
        <f>IF($O$47=0,0,O31/$O$47)</f>
        <v>0</v>
      </c>
      <c r="R31" s="281">
        <f>+R30*'3a-SalesForecastYear1'!$D$12</f>
        <v>0</v>
      </c>
      <c r="S31" s="281">
        <f>+S30*'3a-SalesForecastYear1'!$D$12</f>
        <v>0</v>
      </c>
      <c r="T31" s="281">
        <f>+T30*'3a-SalesForecastYear1'!$D$12</f>
        <v>0</v>
      </c>
      <c r="U31" s="281">
        <f>+U30*'3a-SalesForecastYear1'!$D$12</f>
        <v>0</v>
      </c>
      <c r="V31" s="281">
        <f>+V30*'3a-SalesForecastYear1'!$D$12</f>
        <v>0</v>
      </c>
      <c r="W31" s="281">
        <f>+W30*'3a-SalesForecastYear1'!$D$12</f>
        <v>0</v>
      </c>
      <c r="X31" s="281">
        <f>+X30*'3a-SalesForecastYear1'!$D$12</f>
        <v>0</v>
      </c>
      <c r="Y31" s="281">
        <f>+Y30*'3a-SalesForecastYear1'!$D$12</f>
        <v>0</v>
      </c>
      <c r="Z31" s="281">
        <f>+Z30*'3a-SalesForecastYear1'!$D$12</f>
        <v>0</v>
      </c>
      <c r="AA31" s="281">
        <f>+AA30*'3a-SalesForecastYear1'!$D$12</f>
        <v>0</v>
      </c>
      <c r="AB31" s="281">
        <f>+AB30*'3a-SalesForecastYear1'!$D$12</f>
        <v>0</v>
      </c>
      <c r="AC31" s="281">
        <f>+AC30*'3a-SalesForecastYear1'!$D$12</f>
        <v>0</v>
      </c>
      <c r="AD31" s="111">
        <f>SUM(R31:AC31)</f>
        <v>0</v>
      </c>
      <c r="AE31" s="290">
        <f>(AE32+AE33)</f>
        <v>0</v>
      </c>
      <c r="AF31" s="289">
        <f>IF($AD$47=0,0,AD31/$AD$47)</f>
        <v>0</v>
      </c>
    </row>
    <row r="32" spans="1:32" x14ac:dyDescent="0.15">
      <c r="A32" s="120" t="s">
        <v>214</v>
      </c>
      <c r="B32" s="277">
        <f>'3a-SalesForecastYear1'!O38</f>
        <v>0</v>
      </c>
      <c r="C32" s="281">
        <f>+C30*'3a-SalesForecastYear1'!$E$12</f>
        <v>0</v>
      </c>
      <c r="D32" s="281">
        <f>+D30*'3a-SalesForecastYear1'!$E$12</f>
        <v>0</v>
      </c>
      <c r="E32" s="281">
        <f>+E30*'3a-SalesForecastYear1'!$E$12</f>
        <v>0</v>
      </c>
      <c r="F32" s="281">
        <f>+F30*'3a-SalesForecastYear1'!$E$12</f>
        <v>0</v>
      </c>
      <c r="G32" s="281">
        <f>+G30*'3a-SalesForecastYear1'!$E$12</f>
        <v>0</v>
      </c>
      <c r="H32" s="281">
        <f>+H30*'3a-SalesForecastYear1'!$E$12</f>
        <v>0</v>
      </c>
      <c r="I32" s="281">
        <f>+I30*'3a-SalesForecastYear1'!$E$12</f>
        <v>0</v>
      </c>
      <c r="J32" s="281">
        <f>+J30*'3a-SalesForecastYear1'!$E$12</f>
        <v>0</v>
      </c>
      <c r="K32" s="281">
        <f>+K30*'3a-SalesForecastYear1'!$E$12</f>
        <v>0</v>
      </c>
      <c r="L32" s="281">
        <f>+L30*'3a-SalesForecastYear1'!$E$12</f>
        <v>0</v>
      </c>
      <c r="M32" s="281">
        <f>+M30*'3a-SalesForecastYear1'!$E$12</f>
        <v>0</v>
      </c>
      <c r="N32" s="281">
        <f>+N30*'3a-SalesForecastYear1'!$E$12</f>
        <v>0</v>
      </c>
      <c r="O32" s="111">
        <f>SUM(C32:N32)</f>
        <v>0</v>
      </c>
      <c r="P32" s="290">
        <f>IF(O31=0,0,O32/O31)</f>
        <v>0</v>
      </c>
      <c r="Q32" s="289">
        <f>IF($O$48=0,0,O32/$O$48)</f>
        <v>0</v>
      </c>
      <c r="R32" s="281">
        <f>+R30*'3a-SalesForecastYear1'!$E$12</f>
        <v>0</v>
      </c>
      <c r="S32" s="281">
        <f>+S30*'3a-SalesForecastYear1'!$E$12</f>
        <v>0</v>
      </c>
      <c r="T32" s="281">
        <f>+T30*'3a-SalesForecastYear1'!$E$12</f>
        <v>0</v>
      </c>
      <c r="U32" s="281">
        <f>+U30*'3a-SalesForecastYear1'!$E$12</f>
        <v>0</v>
      </c>
      <c r="V32" s="281">
        <f>+V30*'3a-SalesForecastYear1'!$E$12</f>
        <v>0</v>
      </c>
      <c r="W32" s="281">
        <f>+W30*'3a-SalesForecastYear1'!$E$12</f>
        <v>0</v>
      </c>
      <c r="X32" s="281">
        <f>+X30*'3a-SalesForecastYear1'!$E$12</f>
        <v>0</v>
      </c>
      <c r="Y32" s="281">
        <f>+Y30*'3a-SalesForecastYear1'!$E$12</f>
        <v>0</v>
      </c>
      <c r="Z32" s="281">
        <f>+Z30*'3a-SalesForecastYear1'!$E$12</f>
        <v>0</v>
      </c>
      <c r="AA32" s="281">
        <f>+AA30*'3a-SalesForecastYear1'!$E$12</f>
        <v>0</v>
      </c>
      <c r="AB32" s="281">
        <f>+AB30*'3a-SalesForecastYear1'!$E$12</f>
        <v>0</v>
      </c>
      <c r="AC32" s="281">
        <f>+AC30*'3a-SalesForecastYear1'!$E$12</f>
        <v>0</v>
      </c>
      <c r="AD32" s="111">
        <f>SUM(R32:AC32)</f>
        <v>0</v>
      </c>
      <c r="AE32" s="290">
        <f>IF(AD31=0,0,AD32/AD31)</f>
        <v>0</v>
      </c>
      <c r="AF32" s="289">
        <f>IF($AD$48=0,0,AD32/$AD$48)</f>
        <v>0</v>
      </c>
    </row>
    <row r="33" spans="1:32" x14ac:dyDescent="0.15">
      <c r="A33" s="112" t="s">
        <v>107</v>
      </c>
      <c r="B33" s="276">
        <f>'3a-SalesForecastYear1'!O39</f>
        <v>0</v>
      </c>
      <c r="C33" s="282">
        <f>C31-C32</f>
        <v>0</v>
      </c>
      <c r="D33" s="282">
        <f t="shared" ref="D33:N33" si="68">D31-D32</f>
        <v>0</v>
      </c>
      <c r="E33" s="282">
        <f t="shared" si="68"/>
        <v>0</v>
      </c>
      <c r="F33" s="282">
        <f t="shared" si="68"/>
        <v>0</v>
      </c>
      <c r="G33" s="282">
        <f t="shared" si="68"/>
        <v>0</v>
      </c>
      <c r="H33" s="282">
        <f t="shared" si="68"/>
        <v>0</v>
      </c>
      <c r="I33" s="282">
        <f t="shared" si="68"/>
        <v>0</v>
      </c>
      <c r="J33" s="282">
        <f t="shared" si="68"/>
        <v>0</v>
      </c>
      <c r="K33" s="282">
        <f t="shared" si="68"/>
        <v>0</v>
      </c>
      <c r="L33" s="282">
        <f t="shared" si="68"/>
        <v>0</v>
      </c>
      <c r="M33" s="282">
        <f t="shared" si="68"/>
        <v>0</v>
      </c>
      <c r="N33" s="282">
        <f t="shared" si="68"/>
        <v>0</v>
      </c>
      <c r="O33" s="111">
        <f>SUM(C33:N33)</f>
        <v>0</v>
      </c>
      <c r="P33" s="290">
        <f>IF(O31=0,0,O33/O31)</f>
        <v>0</v>
      </c>
      <c r="Q33" s="289">
        <f>IF($O$49=0,0,O33/$O$49)</f>
        <v>0</v>
      </c>
      <c r="R33" s="281">
        <f>R31-R32</f>
        <v>0</v>
      </c>
      <c r="S33" s="281">
        <f t="shared" ref="S33:AC33" si="69">S31-S32</f>
        <v>0</v>
      </c>
      <c r="T33" s="281">
        <f t="shared" si="69"/>
        <v>0</v>
      </c>
      <c r="U33" s="281">
        <f t="shared" si="69"/>
        <v>0</v>
      </c>
      <c r="V33" s="281">
        <f t="shared" si="69"/>
        <v>0</v>
      </c>
      <c r="W33" s="281">
        <f t="shared" si="69"/>
        <v>0</v>
      </c>
      <c r="X33" s="281">
        <f t="shared" si="69"/>
        <v>0</v>
      </c>
      <c r="Y33" s="281">
        <f t="shared" si="69"/>
        <v>0</v>
      </c>
      <c r="Z33" s="281">
        <f t="shared" si="69"/>
        <v>0</v>
      </c>
      <c r="AA33" s="281">
        <f t="shared" si="69"/>
        <v>0</v>
      </c>
      <c r="AB33" s="281">
        <f t="shared" si="69"/>
        <v>0</v>
      </c>
      <c r="AC33" s="281">
        <f t="shared" si="69"/>
        <v>0</v>
      </c>
      <c r="AD33" s="111">
        <f>SUM(R33:AC33)</f>
        <v>0</v>
      </c>
      <c r="AE33" s="290">
        <f>IF(AD31=0,0,AD33/AD31)</f>
        <v>0</v>
      </c>
      <c r="AF33" s="289">
        <f>IF($AD$49=0,0,AD33/$AD$49)</f>
        <v>0</v>
      </c>
    </row>
    <row r="34" spans="1:32" x14ac:dyDescent="0.15">
      <c r="A34" s="123"/>
      <c r="B34" s="273"/>
      <c r="C34" s="115"/>
      <c r="D34" s="115"/>
      <c r="E34" s="115"/>
      <c r="F34" s="124"/>
      <c r="G34" s="124"/>
      <c r="H34" s="124"/>
      <c r="I34" s="124"/>
      <c r="J34" s="124"/>
      <c r="K34" s="124"/>
      <c r="L34" s="124"/>
      <c r="M34" s="124"/>
      <c r="N34" s="124"/>
      <c r="O34" s="108"/>
      <c r="P34" s="7"/>
      <c r="Q34" s="109"/>
      <c r="R34" s="115"/>
      <c r="S34" s="115"/>
      <c r="T34" s="115"/>
      <c r="U34" s="124"/>
      <c r="V34" s="124"/>
      <c r="W34" s="124"/>
      <c r="X34" s="124"/>
      <c r="Y34" s="124"/>
      <c r="Z34" s="124"/>
      <c r="AA34" s="124"/>
      <c r="AB34" s="124"/>
      <c r="AC34" s="124"/>
      <c r="AD34" s="108"/>
      <c r="AE34" s="7"/>
      <c r="AF34" s="109"/>
    </row>
    <row r="35" spans="1:32" x14ac:dyDescent="0.15">
      <c r="A35" s="117" t="str">
        <f>'3a-SalesForecastYear1'!B41</f>
        <v xml:space="preserve"> </v>
      </c>
      <c r="B35" s="117"/>
      <c r="C35" s="122"/>
      <c r="D35" s="122"/>
      <c r="E35" s="122"/>
      <c r="F35" s="122"/>
      <c r="G35" s="122"/>
      <c r="H35" s="122"/>
      <c r="I35" s="122"/>
      <c r="J35" s="122"/>
      <c r="K35" s="122"/>
      <c r="L35" s="122"/>
      <c r="M35" s="122"/>
      <c r="N35" s="122"/>
      <c r="O35" s="119"/>
      <c r="P35" s="7"/>
      <c r="Q35" s="109"/>
      <c r="R35" s="122"/>
      <c r="S35" s="122"/>
      <c r="T35" s="122"/>
      <c r="U35" s="122"/>
      <c r="V35" s="122"/>
      <c r="W35" s="122"/>
      <c r="X35" s="122"/>
      <c r="Y35" s="122"/>
      <c r="Z35" s="122"/>
      <c r="AA35" s="122"/>
      <c r="AB35" s="122"/>
      <c r="AC35" s="122"/>
      <c r="AD35" s="119"/>
      <c r="AE35" s="7"/>
      <c r="AF35" s="109"/>
    </row>
    <row r="36" spans="1:32" x14ac:dyDescent="0.15">
      <c r="A36" s="107" t="str">
        <f>Unit5&amp; " Sold"</f>
        <v xml:space="preserve"> Sold</v>
      </c>
      <c r="B36" s="107">
        <f>Unit5_Annual</f>
        <v>0</v>
      </c>
      <c r="C36" s="279">
        <f>'3a-SalesForecastYear1'!N42</f>
        <v>0</v>
      </c>
      <c r="D36" s="279">
        <f>C36+C36*$C$7</f>
        <v>0</v>
      </c>
      <c r="E36" s="279">
        <f t="shared" ref="E36" si="70">D36+D36*$C$7</f>
        <v>0</v>
      </c>
      <c r="F36" s="279">
        <f t="shared" ref="F36" si="71">E36+E36*$C$7</f>
        <v>0</v>
      </c>
      <c r="G36" s="279">
        <f t="shared" ref="G36" si="72">F36+F36*$C$7</f>
        <v>0</v>
      </c>
      <c r="H36" s="279">
        <f t="shared" ref="H36" si="73">G36+G36*$C$7</f>
        <v>0</v>
      </c>
      <c r="I36" s="279">
        <f t="shared" ref="I36" si="74">H36+H36*$C$7</f>
        <v>0</v>
      </c>
      <c r="J36" s="279">
        <f t="shared" ref="J36" si="75">I36+I36*$C$7</f>
        <v>0</v>
      </c>
      <c r="K36" s="279">
        <f t="shared" ref="K36" si="76">J36+J36*$C$7</f>
        <v>0</v>
      </c>
      <c r="L36" s="279">
        <f t="shared" ref="L36" si="77">K36+K36*$C$7</f>
        <v>0</v>
      </c>
      <c r="M36" s="279">
        <f t="shared" ref="M36" si="78">L36+L36*$C$7</f>
        <v>0</v>
      </c>
      <c r="N36" s="279">
        <f t="shared" ref="N36" si="79">M36+M36*$C$7</f>
        <v>0</v>
      </c>
      <c r="O36" s="297">
        <f>SUM(C36:N36)</f>
        <v>0</v>
      </c>
      <c r="P36" s="7"/>
      <c r="Q36" s="289">
        <f>IF($O$46=0,0,O36/$O$46)</f>
        <v>0</v>
      </c>
      <c r="R36" s="279">
        <f>N36</f>
        <v>0</v>
      </c>
      <c r="S36" s="279">
        <f>R36+R36*$C$8</f>
        <v>0</v>
      </c>
      <c r="T36" s="279">
        <f t="shared" ref="T36" si="80">S36+S36*$C$8</f>
        <v>0</v>
      </c>
      <c r="U36" s="279">
        <f t="shared" ref="U36" si="81">T36+T36*$C$8</f>
        <v>0</v>
      </c>
      <c r="V36" s="279">
        <f t="shared" ref="V36" si="82">U36+U36*$C$8</f>
        <v>0</v>
      </c>
      <c r="W36" s="279">
        <f t="shared" ref="W36" si="83">V36+V36*$C$8</f>
        <v>0</v>
      </c>
      <c r="X36" s="279">
        <f t="shared" ref="X36" si="84">W36+W36*$C$8</f>
        <v>0</v>
      </c>
      <c r="Y36" s="279">
        <f t="shared" ref="Y36" si="85">X36+X36*$C$8</f>
        <v>0</v>
      </c>
      <c r="Z36" s="279">
        <f t="shared" ref="Z36" si="86">Y36+Y36*$C$8</f>
        <v>0</v>
      </c>
      <c r="AA36" s="279">
        <f t="shared" ref="AA36" si="87">Z36+Z36*$C$8</f>
        <v>0</v>
      </c>
      <c r="AB36" s="279">
        <f t="shared" ref="AB36" si="88">AA36+AA36*$C$8</f>
        <v>0</v>
      </c>
      <c r="AC36" s="279">
        <f t="shared" ref="AC36" si="89">AB36+AB36*$C$8</f>
        <v>0</v>
      </c>
      <c r="AD36" s="297">
        <f>SUM(R36:AC36)</f>
        <v>0</v>
      </c>
      <c r="AE36" s="7"/>
      <c r="AF36" s="289">
        <f>IF($AD$46=0,0,AD36/$AD$46)</f>
        <v>0</v>
      </c>
    </row>
    <row r="37" spans="1:32" x14ac:dyDescent="0.15">
      <c r="A37" s="120" t="s">
        <v>109</v>
      </c>
      <c r="B37" s="277">
        <f>Category5_Annual_Sales</f>
        <v>0</v>
      </c>
      <c r="C37" s="281">
        <f>+C36*'3a-SalesForecastYear1'!$D$13</f>
        <v>0</v>
      </c>
      <c r="D37" s="281">
        <f>+D36*'3a-SalesForecastYear1'!$D$13</f>
        <v>0</v>
      </c>
      <c r="E37" s="281">
        <f>+E36*'3a-SalesForecastYear1'!$D$13</f>
        <v>0</v>
      </c>
      <c r="F37" s="281">
        <f>+F36*'3a-SalesForecastYear1'!$D$13</f>
        <v>0</v>
      </c>
      <c r="G37" s="281">
        <f>+G36*'3a-SalesForecastYear1'!$D$13</f>
        <v>0</v>
      </c>
      <c r="H37" s="281">
        <f>+H36*'3a-SalesForecastYear1'!$D$13</f>
        <v>0</v>
      </c>
      <c r="I37" s="281">
        <f>+I36*'3a-SalesForecastYear1'!$D$13</f>
        <v>0</v>
      </c>
      <c r="J37" s="281">
        <f>+J36*'3a-SalesForecastYear1'!$D$13</f>
        <v>0</v>
      </c>
      <c r="K37" s="281">
        <f>+K36*'3a-SalesForecastYear1'!$D$13</f>
        <v>0</v>
      </c>
      <c r="L37" s="281">
        <f>+L36*'3a-SalesForecastYear1'!$D$13</f>
        <v>0</v>
      </c>
      <c r="M37" s="281">
        <f>+M36*'3a-SalesForecastYear1'!$D$13</f>
        <v>0</v>
      </c>
      <c r="N37" s="281">
        <f>+N36*'3a-SalesForecastYear1'!$D$13</f>
        <v>0</v>
      </c>
      <c r="O37" s="111">
        <f>SUM(C37:N37)</f>
        <v>0</v>
      </c>
      <c r="P37" s="290">
        <f>(P38+P39)</f>
        <v>0</v>
      </c>
      <c r="Q37" s="289">
        <f>IF($O$47=0,0,O37/$O$47)</f>
        <v>0</v>
      </c>
      <c r="R37" s="281">
        <f>+R36*'3a-SalesForecastYear1'!$D$13</f>
        <v>0</v>
      </c>
      <c r="S37" s="281">
        <f>+S36*'3a-SalesForecastYear1'!$D$13</f>
        <v>0</v>
      </c>
      <c r="T37" s="281">
        <f>+T36*'3a-SalesForecastYear1'!$D$13</f>
        <v>0</v>
      </c>
      <c r="U37" s="281">
        <f>+U36*'3a-SalesForecastYear1'!$D$13</f>
        <v>0</v>
      </c>
      <c r="V37" s="281">
        <f>+V36*'3a-SalesForecastYear1'!$D$13</f>
        <v>0</v>
      </c>
      <c r="W37" s="281">
        <f>+W36*'3a-SalesForecastYear1'!$D$13</f>
        <v>0</v>
      </c>
      <c r="X37" s="281">
        <f>+X36*'3a-SalesForecastYear1'!$D$13</f>
        <v>0</v>
      </c>
      <c r="Y37" s="281">
        <f>+Y36*'3a-SalesForecastYear1'!$D$13</f>
        <v>0</v>
      </c>
      <c r="Z37" s="281">
        <f>+Z36*'3a-SalesForecastYear1'!$D$13</f>
        <v>0</v>
      </c>
      <c r="AA37" s="281">
        <f>+AA36*'3a-SalesForecastYear1'!$D$13</f>
        <v>0</v>
      </c>
      <c r="AB37" s="281">
        <f>+AB36*'3a-SalesForecastYear1'!$D$13</f>
        <v>0</v>
      </c>
      <c r="AC37" s="281">
        <f>+AC36*'3a-SalesForecastYear1'!$D$13</f>
        <v>0</v>
      </c>
      <c r="AD37" s="111">
        <f>SUM(R37:AC37)</f>
        <v>0</v>
      </c>
      <c r="AE37" s="290">
        <f>(AE38+AE39)</f>
        <v>0</v>
      </c>
      <c r="AF37" s="289">
        <f>IF($AD$47=0,0,AD37/$AD$47)</f>
        <v>0</v>
      </c>
    </row>
    <row r="38" spans="1:32" x14ac:dyDescent="0.15">
      <c r="A38" s="120" t="s">
        <v>214</v>
      </c>
      <c r="B38" s="277">
        <f>'3a-SalesForecastYear1'!O44</f>
        <v>0</v>
      </c>
      <c r="C38" s="281">
        <f>+C36*'3a-SalesForecastYear1'!$E$13</f>
        <v>0</v>
      </c>
      <c r="D38" s="281">
        <f>+D36*'3a-SalesForecastYear1'!$E$13</f>
        <v>0</v>
      </c>
      <c r="E38" s="281">
        <f>+E36*'3a-SalesForecastYear1'!$E$13</f>
        <v>0</v>
      </c>
      <c r="F38" s="281">
        <f>+F36*'3a-SalesForecastYear1'!$E$13</f>
        <v>0</v>
      </c>
      <c r="G38" s="281">
        <f>+G36*'3a-SalesForecastYear1'!$E$13</f>
        <v>0</v>
      </c>
      <c r="H38" s="281">
        <f>+H36*'3a-SalesForecastYear1'!$E$13</f>
        <v>0</v>
      </c>
      <c r="I38" s="281">
        <f>+I36*'3a-SalesForecastYear1'!$E$13</f>
        <v>0</v>
      </c>
      <c r="J38" s="281">
        <f>+J36*'3a-SalesForecastYear1'!$E$13</f>
        <v>0</v>
      </c>
      <c r="K38" s="281">
        <f>+K36*'3a-SalesForecastYear1'!$E$13</f>
        <v>0</v>
      </c>
      <c r="L38" s="281">
        <f>+L36*'3a-SalesForecastYear1'!$E$13</f>
        <v>0</v>
      </c>
      <c r="M38" s="281">
        <f>+M36*'3a-SalesForecastYear1'!$E$13</f>
        <v>0</v>
      </c>
      <c r="N38" s="281">
        <f>+N36*'3a-SalesForecastYear1'!$E$13</f>
        <v>0</v>
      </c>
      <c r="O38" s="111">
        <f>SUM(C38:N38)</f>
        <v>0</v>
      </c>
      <c r="P38" s="290">
        <f>IF(O37=0,0,O38/O37)</f>
        <v>0</v>
      </c>
      <c r="Q38" s="289">
        <f>IF($O$48=0,0,O38/$O$48)</f>
        <v>0</v>
      </c>
      <c r="R38" s="281">
        <f>+R36*'3a-SalesForecastYear1'!$E$13</f>
        <v>0</v>
      </c>
      <c r="S38" s="281">
        <f>+S36*'3a-SalesForecastYear1'!$E$13</f>
        <v>0</v>
      </c>
      <c r="T38" s="281">
        <f>+T36*'3a-SalesForecastYear1'!$E$13</f>
        <v>0</v>
      </c>
      <c r="U38" s="281">
        <f>+U36*'3a-SalesForecastYear1'!$E$13</f>
        <v>0</v>
      </c>
      <c r="V38" s="281">
        <f>+V36*'3a-SalesForecastYear1'!$E$13</f>
        <v>0</v>
      </c>
      <c r="W38" s="281">
        <f>+W36*'3a-SalesForecastYear1'!$E$13</f>
        <v>0</v>
      </c>
      <c r="X38" s="281">
        <f>+X36*'3a-SalesForecastYear1'!$E$13</f>
        <v>0</v>
      </c>
      <c r="Y38" s="281">
        <f>+Y36*'3a-SalesForecastYear1'!$E$13</f>
        <v>0</v>
      </c>
      <c r="Z38" s="281">
        <f>+Z36*'3a-SalesForecastYear1'!$E$13</f>
        <v>0</v>
      </c>
      <c r="AA38" s="281">
        <f>+AA36*'3a-SalesForecastYear1'!$E$13</f>
        <v>0</v>
      </c>
      <c r="AB38" s="281">
        <f>+AB36*'3a-SalesForecastYear1'!$E$13</f>
        <v>0</v>
      </c>
      <c r="AC38" s="281">
        <f>+AC36*'3a-SalesForecastYear1'!$E$13</f>
        <v>0</v>
      </c>
      <c r="AD38" s="111">
        <f>SUM(R38:AC38)</f>
        <v>0</v>
      </c>
      <c r="AE38" s="290">
        <f>IF(AD37=0,0,AD38/AD37)</f>
        <v>0</v>
      </c>
      <c r="AF38" s="289">
        <f>IF($AD$48=0,0,AD38/$AD$48)</f>
        <v>0</v>
      </c>
    </row>
    <row r="39" spans="1:32" x14ac:dyDescent="0.15">
      <c r="A39" s="112" t="s">
        <v>107</v>
      </c>
      <c r="B39" s="276">
        <f>'3a-SalesForecastYear1'!O45</f>
        <v>0</v>
      </c>
      <c r="C39" s="299">
        <f>C37-C38</f>
        <v>0</v>
      </c>
      <c r="D39" s="299">
        <f t="shared" ref="D39:N39" si="90">D37-D38</f>
        <v>0</v>
      </c>
      <c r="E39" s="299">
        <f t="shared" si="90"/>
        <v>0</v>
      </c>
      <c r="F39" s="299">
        <f t="shared" si="90"/>
        <v>0</v>
      </c>
      <c r="G39" s="299">
        <f t="shared" si="90"/>
        <v>0</v>
      </c>
      <c r="H39" s="299">
        <f t="shared" si="90"/>
        <v>0</v>
      </c>
      <c r="I39" s="299">
        <f t="shared" si="90"/>
        <v>0</v>
      </c>
      <c r="J39" s="299">
        <f t="shared" si="90"/>
        <v>0</v>
      </c>
      <c r="K39" s="299">
        <f t="shared" si="90"/>
        <v>0</v>
      </c>
      <c r="L39" s="299">
        <f t="shared" si="90"/>
        <v>0</v>
      </c>
      <c r="M39" s="299">
        <f t="shared" si="90"/>
        <v>0</v>
      </c>
      <c r="N39" s="299">
        <f t="shared" si="90"/>
        <v>0</v>
      </c>
      <c r="O39" s="111">
        <f>SUM(C39:N39)</f>
        <v>0</v>
      </c>
      <c r="P39" s="290">
        <f>IF(O37=0,0,O39/O37)</f>
        <v>0</v>
      </c>
      <c r="Q39" s="289">
        <f>IF($O$49=0,0,O39/$O$49)</f>
        <v>0</v>
      </c>
      <c r="R39" s="281">
        <f>R37-R38</f>
        <v>0</v>
      </c>
      <c r="S39" s="281">
        <f t="shared" ref="S39:AC39" si="91">S37-S38</f>
        <v>0</v>
      </c>
      <c r="T39" s="281">
        <f t="shared" si="91"/>
        <v>0</v>
      </c>
      <c r="U39" s="281">
        <f t="shared" si="91"/>
        <v>0</v>
      </c>
      <c r="V39" s="281">
        <f t="shared" si="91"/>
        <v>0</v>
      </c>
      <c r="W39" s="281">
        <f t="shared" si="91"/>
        <v>0</v>
      </c>
      <c r="X39" s="281">
        <f t="shared" si="91"/>
        <v>0</v>
      </c>
      <c r="Y39" s="281">
        <f t="shared" si="91"/>
        <v>0</v>
      </c>
      <c r="Z39" s="281">
        <f t="shared" si="91"/>
        <v>0</v>
      </c>
      <c r="AA39" s="281">
        <f t="shared" si="91"/>
        <v>0</v>
      </c>
      <c r="AB39" s="281">
        <f t="shared" si="91"/>
        <v>0</v>
      </c>
      <c r="AC39" s="281">
        <f t="shared" si="91"/>
        <v>0</v>
      </c>
      <c r="AD39" s="111">
        <f>SUM(R39:AC39)</f>
        <v>0</v>
      </c>
      <c r="AE39" s="290">
        <f>IF(AD37=0,0,AD39/AD37)</f>
        <v>0</v>
      </c>
      <c r="AF39" s="289">
        <f>IF($AD$49=0,0,AD39/$AD$49)</f>
        <v>0</v>
      </c>
    </row>
    <row r="40" spans="1:32" x14ac:dyDescent="0.15">
      <c r="A40" s="123"/>
      <c r="B40" s="273"/>
      <c r="C40" s="125"/>
      <c r="D40" s="125"/>
      <c r="E40" s="125"/>
      <c r="F40" s="125"/>
      <c r="G40" s="125"/>
      <c r="H40" s="125"/>
      <c r="I40" s="125"/>
      <c r="J40" s="125"/>
      <c r="K40" s="125"/>
      <c r="L40" s="125"/>
      <c r="M40" s="125"/>
      <c r="N40" s="125"/>
      <c r="O40" s="108"/>
      <c r="P40" s="7"/>
      <c r="Q40" s="109"/>
      <c r="R40" s="125"/>
      <c r="S40" s="125"/>
      <c r="T40" s="125"/>
      <c r="U40" s="125"/>
      <c r="V40" s="125"/>
      <c r="W40" s="125"/>
      <c r="X40" s="125"/>
      <c r="Y40" s="125"/>
      <c r="Z40" s="125"/>
      <c r="AA40" s="125"/>
      <c r="AB40" s="125"/>
      <c r="AC40" s="125"/>
      <c r="AD40" s="108"/>
      <c r="AE40" s="7"/>
      <c r="AF40" s="109"/>
    </row>
    <row r="41" spans="1:32" x14ac:dyDescent="0.15">
      <c r="A41" s="117" t="str">
        <f>'3a-SalesForecastYear1'!B47</f>
        <v xml:space="preserve"> </v>
      </c>
      <c r="B41" s="117"/>
      <c r="C41" s="126"/>
      <c r="D41" s="126"/>
      <c r="E41" s="126"/>
      <c r="F41" s="126"/>
      <c r="G41" s="126"/>
      <c r="H41" s="126"/>
      <c r="I41" s="126"/>
      <c r="J41" s="126"/>
      <c r="K41" s="126"/>
      <c r="L41" s="126"/>
      <c r="M41" s="126"/>
      <c r="N41" s="126"/>
      <c r="O41" s="119"/>
      <c r="P41" s="7"/>
      <c r="Q41" s="109"/>
      <c r="R41" s="126"/>
      <c r="S41" s="126"/>
      <c r="T41" s="126"/>
      <c r="U41" s="126"/>
      <c r="V41" s="126"/>
      <c r="W41" s="126"/>
      <c r="X41" s="126"/>
      <c r="Y41" s="126"/>
      <c r="Z41" s="126"/>
      <c r="AA41" s="126"/>
      <c r="AB41" s="126"/>
      <c r="AC41" s="126"/>
      <c r="AD41" s="119"/>
      <c r="AE41" s="7"/>
      <c r="AF41" s="109"/>
    </row>
    <row r="42" spans="1:32" x14ac:dyDescent="0.15">
      <c r="A42" s="107" t="str">
        <f>Unit6&amp; " Sold"</f>
        <v xml:space="preserve"> Sold</v>
      </c>
      <c r="B42" s="107">
        <f>Unit6_Annual</f>
        <v>0</v>
      </c>
      <c r="C42" s="280">
        <f>'3a-SalesForecastYear1'!N48</f>
        <v>0</v>
      </c>
      <c r="D42" s="279">
        <f>C42+C42*$C$7</f>
        <v>0</v>
      </c>
      <c r="E42" s="279">
        <f t="shared" ref="E42" si="92">D42+D42*$C$7</f>
        <v>0</v>
      </c>
      <c r="F42" s="279">
        <f t="shared" ref="F42" si="93">E42+E42*$C$7</f>
        <v>0</v>
      </c>
      <c r="G42" s="279">
        <f t="shared" ref="G42" si="94">F42+F42*$C$7</f>
        <v>0</v>
      </c>
      <c r="H42" s="279">
        <f t="shared" ref="H42" si="95">G42+G42*$C$7</f>
        <v>0</v>
      </c>
      <c r="I42" s="279">
        <f t="shared" ref="I42" si="96">H42+H42*$C$7</f>
        <v>0</v>
      </c>
      <c r="J42" s="279">
        <f t="shared" ref="J42" si="97">I42+I42*$C$7</f>
        <v>0</v>
      </c>
      <c r="K42" s="279">
        <f t="shared" ref="K42" si="98">J42+J42*$C$7</f>
        <v>0</v>
      </c>
      <c r="L42" s="279">
        <f t="shared" ref="L42" si="99">K42+K42*$C$7</f>
        <v>0</v>
      </c>
      <c r="M42" s="279">
        <f t="shared" ref="M42" si="100">L42+L42*$C$7</f>
        <v>0</v>
      </c>
      <c r="N42" s="279">
        <f t="shared" ref="N42" si="101">M42+M42*$C$7</f>
        <v>0</v>
      </c>
      <c r="O42" s="297">
        <f t="shared" ref="O42:O48" si="102">SUM(C42:N42)</f>
        <v>0</v>
      </c>
      <c r="P42" s="7"/>
      <c r="Q42" s="289">
        <f>IF($O$46=0,0,O42/$O$46)</f>
        <v>0</v>
      </c>
      <c r="R42" s="279">
        <f>N42</f>
        <v>0</v>
      </c>
      <c r="S42" s="279">
        <f>R42+R42*$C$8</f>
        <v>0</v>
      </c>
      <c r="T42" s="279">
        <f t="shared" ref="T42" si="103">S42+S42*$C$8</f>
        <v>0</v>
      </c>
      <c r="U42" s="279">
        <f t="shared" ref="U42" si="104">T42+T42*$C$8</f>
        <v>0</v>
      </c>
      <c r="V42" s="279">
        <f t="shared" ref="V42" si="105">U42+U42*$C$8</f>
        <v>0</v>
      </c>
      <c r="W42" s="279">
        <f t="shared" ref="W42" si="106">V42+V42*$C$8</f>
        <v>0</v>
      </c>
      <c r="X42" s="279">
        <f t="shared" ref="X42" si="107">W42+W42*$C$8</f>
        <v>0</v>
      </c>
      <c r="Y42" s="279">
        <f t="shared" ref="Y42" si="108">X42+X42*$C$8</f>
        <v>0</v>
      </c>
      <c r="Z42" s="279">
        <f t="shared" ref="Z42" si="109">Y42+Y42*$C$8</f>
        <v>0</v>
      </c>
      <c r="AA42" s="279">
        <f t="shared" ref="AA42" si="110">Z42+Z42*$C$8</f>
        <v>0</v>
      </c>
      <c r="AB42" s="279">
        <f t="shared" ref="AB42" si="111">AA42+AA42*$C$8</f>
        <v>0</v>
      </c>
      <c r="AC42" s="279">
        <f t="shared" ref="AC42" si="112">AB42+AB42*$C$8</f>
        <v>0</v>
      </c>
      <c r="AD42" s="297">
        <f t="shared" ref="AD42:AD48" si="113">SUM(R42:AC42)</f>
        <v>0</v>
      </c>
      <c r="AE42" s="7"/>
      <c r="AF42" s="289">
        <f>IF($AD$46=0,0,AD42/$AD$46)</f>
        <v>0</v>
      </c>
    </row>
    <row r="43" spans="1:32" x14ac:dyDescent="0.15">
      <c r="A43" s="120" t="s">
        <v>109</v>
      </c>
      <c r="B43" s="277">
        <f>Category6_Annual_Sales</f>
        <v>0</v>
      </c>
      <c r="C43" s="281">
        <f>+C42*'3a-SalesForecastYear1'!$D$14</f>
        <v>0</v>
      </c>
      <c r="D43" s="281">
        <f>+D42*'3a-SalesForecastYear1'!$D$14</f>
        <v>0</v>
      </c>
      <c r="E43" s="281">
        <f>+E42*'3a-SalesForecastYear1'!$D$14</f>
        <v>0</v>
      </c>
      <c r="F43" s="281">
        <f>+F42*'3a-SalesForecastYear1'!$D$14</f>
        <v>0</v>
      </c>
      <c r="G43" s="281">
        <f>+G42*'3a-SalesForecastYear1'!$D$14</f>
        <v>0</v>
      </c>
      <c r="H43" s="281">
        <f>+H42*'3a-SalesForecastYear1'!$D$14</f>
        <v>0</v>
      </c>
      <c r="I43" s="281">
        <f>+I42*'3a-SalesForecastYear1'!$D$14</f>
        <v>0</v>
      </c>
      <c r="J43" s="281">
        <f>+J42*'3a-SalesForecastYear1'!$D$14</f>
        <v>0</v>
      </c>
      <c r="K43" s="281">
        <f>+K42*'3a-SalesForecastYear1'!$D$14</f>
        <v>0</v>
      </c>
      <c r="L43" s="281">
        <f>+L42*'3a-SalesForecastYear1'!$D$14</f>
        <v>0</v>
      </c>
      <c r="M43" s="281">
        <f>+M42*'3a-SalesForecastYear1'!$D$14</f>
        <v>0</v>
      </c>
      <c r="N43" s="281">
        <f>+N42*'3a-SalesForecastYear1'!$D$14</f>
        <v>0</v>
      </c>
      <c r="O43" s="111">
        <f t="shared" si="102"/>
        <v>0</v>
      </c>
      <c r="P43" s="290">
        <f>(P44+P45)</f>
        <v>0</v>
      </c>
      <c r="Q43" s="289">
        <f>IF($O$47=0,0,O43/$O$47)</f>
        <v>0</v>
      </c>
      <c r="R43" s="281">
        <f>+R42*'3a-SalesForecastYear1'!$D$14</f>
        <v>0</v>
      </c>
      <c r="S43" s="281">
        <f>+S42*'3a-SalesForecastYear1'!$D$14</f>
        <v>0</v>
      </c>
      <c r="T43" s="281">
        <f>+T42*'3a-SalesForecastYear1'!$D$14</f>
        <v>0</v>
      </c>
      <c r="U43" s="281">
        <f>+U42*'3a-SalesForecastYear1'!$D$14</f>
        <v>0</v>
      </c>
      <c r="V43" s="281">
        <f>+V42*'3a-SalesForecastYear1'!$D$14</f>
        <v>0</v>
      </c>
      <c r="W43" s="281">
        <f>+W42*'3a-SalesForecastYear1'!$D$14</f>
        <v>0</v>
      </c>
      <c r="X43" s="281">
        <f>+X42*'3a-SalesForecastYear1'!$D$14</f>
        <v>0</v>
      </c>
      <c r="Y43" s="281">
        <f>+Y42*'3a-SalesForecastYear1'!$D$14</f>
        <v>0</v>
      </c>
      <c r="Z43" s="281">
        <f>+Z42*'3a-SalesForecastYear1'!$D$14</f>
        <v>0</v>
      </c>
      <c r="AA43" s="281">
        <f>+AA42*'3a-SalesForecastYear1'!$D$14</f>
        <v>0</v>
      </c>
      <c r="AB43" s="281">
        <f>+AB42*'3a-SalesForecastYear1'!$D$14</f>
        <v>0</v>
      </c>
      <c r="AC43" s="281">
        <f>+AC42*'3a-SalesForecastYear1'!$D$14</f>
        <v>0</v>
      </c>
      <c r="AD43" s="111">
        <f t="shared" si="113"/>
        <v>0</v>
      </c>
      <c r="AE43" s="290">
        <f>(AE44+AE45)</f>
        <v>0</v>
      </c>
      <c r="AF43" s="289">
        <f>IF($AD$47=0,0,AD43/$AD$47)</f>
        <v>0</v>
      </c>
    </row>
    <row r="44" spans="1:32" x14ac:dyDescent="0.15">
      <c r="A44" s="127" t="s">
        <v>214</v>
      </c>
      <c r="B44" s="275">
        <f>'3a-SalesForecastYear1'!O50</f>
        <v>0</v>
      </c>
      <c r="C44" s="281">
        <f>+C42*'3a-SalesForecastYear1'!$E$14</f>
        <v>0</v>
      </c>
      <c r="D44" s="281">
        <f>+D42*'3a-SalesForecastYear1'!$E$14</f>
        <v>0</v>
      </c>
      <c r="E44" s="281">
        <f>+E42*'3a-SalesForecastYear1'!$E$14</f>
        <v>0</v>
      </c>
      <c r="F44" s="281">
        <f>+F42*'3a-SalesForecastYear1'!$E$14</f>
        <v>0</v>
      </c>
      <c r="G44" s="281">
        <f>+G42*'3a-SalesForecastYear1'!$E$14</f>
        <v>0</v>
      </c>
      <c r="H44" s="281">
        <f>+H42*'3a-SalesForecastYear1'!$E$14</f>
        <v>0</v>
      </c>
      <c r="I44" s="281">
        <f>+I42*'3a-SalesForecastYear1'!$E$14</f>
        <v>0</v>
      </c>
      <c r="J44" s="281">
        <f>+J42*'3a-SalesForecastYear1'!$E$14</f>
        <v>0</v>
      </c>
      <c r="K44" s="281">
        <f>+K42*'3a-SalesForecastYear1'!$E$14</f>
        <v>0</v>
      </c>
      <c r="L44" s="281">
        <f>+L42*'3a-SalesForecastYear1'!$E$14</f>
        <v>0</v>
      </c>
      <c r="M44" s="281">
        <f>+M42*'3a-SalesForecastYear1'!$E$14</f>
        <v>0</v>
      </c>
      <c r="N44" s="281">
        <f>+N42*'3a-SalesForecastYear1'!$E$14</f>
        <v>0</v>
      </c>
      <c r="O44" s="111">
        <f t="shared" si="102"/>
        <v>0</v>
      </c>
      <c r="P44" s="290">
        <f>IF(O43=0,0,O44/O43)</f>
        <v>0</v>
      </c>
      <c r="Q44" s="289">
        <f>IF($O$48=0,0,O44/$O$48)</f>
        <v>0</v>
      </c>
      <c r="R44" s="281">
        <f>+R42*'3a-SalesForecastYear1'!$E$14</f>
        <v>0</v>
      </c>
      <c r="S44" s="281">
        <f>+S42*'3a-SalesForecastYear1'!$E$14</f>
        <v>0</v>
      </c>
      <c r="T44" s="281">
        <f>+T42*'3a-SalesForecastYear1'!$E$14</f>
        <v>0</v>
      </c>
      <c r="U44" s="281">
        <f>+U42*'3a-SalesForecastYear1'!$E$14</f>
        <v>0</v>
      </c>
      <c r="V44" s="281">
        <f>+V42*'3a-SalesForecastYear1'!$E$14</f>
        <v>0</v>
      </c>
      <c r="W44" s="281">
        <f>+W42*'3a-SalesForecastYear1'!$E$14</f>
        <v>0</v>
      </c>
      <c r="X44" s="281">
        <f>+X42*'3a-SalesForecastYear1'!$E$14</f>
        <v>0</v>
      </c>
      <c r="Y44" s="281">
        <f>+Y42*'3a-SalesForecastYear1'!$E$14</f>
        <v>0</v>
      </c>
      <c r="Z44" s="281">
        <f>+Z42*'3a-SalesForecastYear1'!$E$14</f>
        <v>0</v>
      </c>
      <c r="AA44" s="281">
        <f>+AA42*'3a-SalesForecastYear1'!$E$14</f>
        <v>0</v>
      </c>
      <c r="AB44" s="281">
        <f>+AB42*'3a-SalesForecastYear1'!$E$14</f>
        <v>0</v>
      </c>
      <c r="AC44" s="281">
        <f>+AC42*'3a-SalesForecastYear1'!$E$14</f>
        <v>0</v>
      </c>
      <c r="AD44" s="111">
        <f t="shared" si="113"/>
        <v>0</v>
      </c>
      <c r="AE44" s="290">
        <f>IF(AD43=0,0,AD44/AD43)</f>
        <v>0</v>
      </c>
      <c r="AF44" s="289">
        <f>IF($AD$48=0,0,AD44/$AD$48)</f>
        <v>0</v>
      </c>
    </row>
    <row r="45" spans="1:32" x14ac:dyDescent="0.15">
      <c r="A45" s="110" t="s">
        <v>107</v>
      </c>
      <c r="B45" s="278">
        <f>'3a-SalesForecastYear1'!O51</f>
        <v>0</v>
      </c>
      <c r="C45" s="281">
        <f>C43-C44</f>
        <v>0</v>
      </c>
      <c r="D45" s="281">
        <f t="shared" ref="D45:N45" si="114">D43-D44</f>
        <v>0</v>
      </c>
      <c r="E45" s="281">
        <f t="shared" si="114"/>
        <v>0</v>
      </c>
      <c r="F45" s="281">
        <f t="shared" si="114"/>
        <v>0</v>
      </c>
      <c r="G45" s="281">
        <f t="shared" si="114"/>
        <v>0</v>
      </c>
      <c r="H45" s="281">
        <f t="shared" si="114"/>
        <v>0</v>
      </c>
      <c r="I45" s="281">
        <f t="shared" si="114"/>
        <v>0</v>
      </c>
      <c r="J45" s="281">
        <f t="shared" si="114"/>
        <v>0</v>
      </c>
      <c r="K45" s="281">
        <f t="shared" si="114"/>
        <v>0</v>
      </c>
      <c r="L45" s="281">
        <f t="shared" si="114"/>
        <v>0</v>
      </c>
      <c r="M45" s="281">
        <f t="shared" si="114"/>
        <v>0</v>
      </c>
      <c r="N45" s="281">
        <f t="shared" si="114"/>
        <v>0</v>
      </c>
      <c r="O45" s="111">
        <f t="shared" si="102"/>
        <v>0</v>
      </c>
      <c r="P45" s="290">
        <f>IF(O43=0,0,O45/O43)</f>
        <v>0</v>
      </c>
      <c r="Q45" s="289">
        <f>IF($O$49=0,0,O45/$O$49)</f>
        <v>0</v>
      </c>
      <c r="R45" s="281">
        <f>R43-R44</f>
        <v>0</v>
      </c>
      <c r="S45" s="281">
        <f t="shared" ref="S45:AC45" si="115">S43-S44</f>
        <v>0</v>
      </c>
      <c r="T45" s="281">
        <f t="shared" si="115"/>
        <v>0</v>
      </c>
      <c r="U45" s="281">
        <f t="shared" si="115"/>
        <v>0</v>
      </c>
      <c r="V45" s="281">
        <f t="shared" si="115"/>
        <v>0</v>
      </c>
      <c r="W45" s="281">
        <f t="shared" si="115"/>
        <v>0</v>
      </c>
      <c r="X45" s="281">
        <f t="shared" si="115"/>
        <v>0</v>
      </c>
      <c r="Y45" s="281">
        <f t="shared" si="115"/>
        <v>0</v>
      </c>
      <c r="Z45" s="281">
        <f t="shared" si="115"/>
        <v>0</v>
      </c>
      <c r="AA45" s="281">
        <f t="shared" si="115"/>
        <v>0</v>
      </c>
      <c r="AB45" s="281">
        <f t="shared" si="115"/>
        <v>0</v>
      </c>
      <c r="AC45" s="281">
        <f t="shared" si="115"/>
        <v>0</v>
      </c>
      <c r="AD45" s="111">
        <f t="shared" si="113"/>
        <v>0</v>
      </c>
      <c r="AE45" s="290">
        <f>IF(AD43=0,0,AD45/AD43)</f>
        <v>0</v>
      </c>
      <c r="AF45" s="289">
        <f>IF($AD$49=0,0,AD45/$AD$49)</f>
        <v>0</v>
      </c>
    </row>
    <row r="46" spans="1:32" x14ac:dyDescent="0.15">
      <c r="A46" s="128" t="s">
        <v>108</v>
      </c>
      <c r="B46" s="128">
        <f>Units_Annual_Total</f>
        <v>22954.031804121696</v>
      </c>
      <c r="C46" s="296">
        <f>C12+C18+C24+C30+C36+C42</f>
        <v>2359.4940307060147</v>
      </c>
      <c r="D46" s="296">
        <f t="shared" ref="D46:N46" si="116">D12+D18+D24+D30+D36+D42</f>
        <v>2430.2788516271953</v>
      </c>
      <c r="E46" s="296">
        <f t="shared" si="116"/>
        <v>2503.1872171760115</v>
      </c>
      <c r="F46" s="296">
        <f t="shared" si="116"/>
        <v>2578.2828336912917</v>
      </c>
      <c r="G46" s="296">
        <f t="shared" si="116"/>
        <v>2655.6313187020305</v>
      </c>
      <c r="H46" s="296">
        <f t="shared" si="116"/>
        <v>2735.3002582630916</v>
      </c>
      <c r="I46" s="296">
        <f t="shared" si="116"/>
        <v>2817.3592660109844</v>
      </c>
      <c r="J46" s="296">
        <f t="shared" si="116"/>
        <v>2901.8800439913139</v>
      </c>
      <c r="K46" s="296">
        <f t="shared" si="116"/>
        <v>2988.9364453110538</v>
      </c>
      <c r="L46" s="296">
        <f t="shared" si="116"/>
        <v>3078.6045386703854</v>
      </c>
      <c r="M46" s="296">
        <f t="shared" si="116"/>
        <v>3170.9626748304963</v>
      </c>
      <c r="N46" s="296">
        <f t="shared" si="116"/>
        <v>3266.0915550754116</v>
      </c>
      <c r="O46" s="297">
        <f t="shared" si="102"/>
        <v>33486.009034055285</v>
      </c>
      <c r="P46" s="7"/>
      <c r="Q46" s="109"/>
      <c r="R46" s="296">
        <f>R12+R18+R24+R30+R36+R42</f>
        <v>3266.0915550754116</v>
      </c>
      <c r="S46" s="296">
        <f t="shared" ref="S46:AC46" si="117">S12+S18+S24+S30+S36+S42</f>
        <v>3331.4133861769196</v>
      </c>
      <c r="T46" s="296">
        <f t="shared" si="117"/>
        <v>3398.0416539004586</v>
      </c>
      <c r="U46" s="296">
        <f t="shared" si="117"/>
        <v>3466.0024869784675</v>
      </c>
      <c r="V46" s="296">
        <f t="shared" si="117"/>
        <v>3535.3225367180371</v>
      </c>
      <c r="W46" s="296">
        <f t="shared" si="117"/>
        <v>3606.0289874523978</v>
      </c>
      <c r="X46" s="296">
        <f t="shared" si="117"/>
        <v>3678.1495672014462</v>
      </c>
      <c r="Y46" s="296">
        <f t="shared" si="117"/>
        <v>3751.7125585454751</v>
      </c>
      <c r="Z46" s="296">
        <f t="shared" si="117"/>
        <v>3826.7468097163846</v>
      </c>
      <c r="AA46" s="296">
        <f t="shared" si="117"/>
        <v>3903.2817459107118</v>
      </c>
      <c r="AB46" s="296">
        <f t="shared" si="117"/>
        <v>3981.3473808289259</v>
      </c>
      <c r="AC46" s="296">
        <f t="shared" si="117"/>
        <v>4060.9743284455044</v>
      </c>
      <c r="AD46" s="297">
        <f t="shared" si="113"/>
        <v>43805.112996950142</v>
      </c>
      <c r="AE46" s="7"/>
      <c r="AF46" s="109"/>
    </row>
    <row r="47" spans="1:32" x14ac:dyDescent="0.15">
      <c r="A47" s="129" t="s">
        <v>109</v>
      </c>
      <c r="B47" s="111">
        <f>Sales_Annual_Total</f>
        <v>115209.59431415585</v>
      </c>
      <c r="C47" s="130">
        <f t="shared" ref="C47:N48" si="118">C13+C19+C25+C31+C37+C43</f>
        <v>11842.640647361159</v>
      </c>
      <c r="D47" s="130">
        <f t="shared" si="118"/>
        <v>12197.919866781993</v>
      </c>
      <c r="E47" s="130">
        <f t="shared" si="118"/>
        <v>12563.857462785452</v>
      </c>
      <c r="F47" s="130">
        <f t="shared" si="118"/>
        <v>12940.773186669017</v>
      </c>
      <c r="G47" s="130">
        <f t="shared" si="118"/>
        <v>13328.996382269088</v>
      </c>
      <c r="H47" s="130">
        <f t="shared" si="118"/>
        <v>13728.866273737161</v>
      </c>
      <c r="I47" s="130">
        <f t="shared" si="118"/>
        <v>14140.732261949277</v>
      </c>
      <c r="J47" s="130">
        <f t="shared" si="118"/>
        <v>14564.954229807754</v>
      </c>
      <c r="K47" s="130">
        <f t="shared" si="118"/>
        <v>15001.902856701989</v>
      </c>
      <c r="L47" s="130">
        <f t="shared" si="118"/>
        <v>15451.959942403048</v>
      </c>
      <c r="M47" s="130">
        <f t="shared" si="118"/>
        <v>15915.518740675139</v>
      </c>
      <c r="N47" s="130">
        <f t="shared" si="118"/>
        <v>16392.984302895391</v>
      </c>
      <c r="O47" s="111">
        <f t="shared" si="102"/>
        <v>168071.10615403648</v>
      </c>
      <c r="P47" s="7"/>
      <c r="Q47" s="109"/>
      <c r="R47" s="130">
        <f t="shared" ref="R47:AC47" si="119">R13+R19+R25+R31+R37+R43</f>
        <v>16392.984302895391</v>
      </c>
      <c r="S47" s="130">
        <f t="shared" si="119"/>
        <v>16720.8439889533</v>
      </c>
      <c r="T47" s="130">
        <f t="shared" si="119"/>
        <v>17055.26086873237</v>
      </c>
      <c r="U47" s="130">
        <f t="shared" si="119"/>
        <v>17396.366086107017</v>
      </c>
      <c r="V47" s="130">
        <f t="shared" si="119"/>
        <v>17744.293407829155</v>
      </c>
      <c r="W47" s="130">
        <f t="shared" si="119"/>
        <v>18099.179275985738</v>
      </c>
      <c r="X47" s="130">
        <f t="shared" si="119"/>
        <v>18461.162861505454</v>
      </c>
      <c r="Y47" s="130">
        <f t="shared" si="119"/>
        <v>18830.386118735561</v>
      </c>
      <c r="Z47" s="130">
        <f t="shared" si="119"/>
        <v>19206.99384111027</v>
      </c>
      <c r="AA47" s="130">
        <f t="shared" si="119"/>
        <v>19591.133717932476</v>
      </c>
      <c r="AB47" s="130">
        <f t="shared" si="119"/>
        <v>19982.956392291126</v>
      </c>
      <c r="AC47" s="130">
        <f t="shared" si="119"/>
        <v>20382.615520136955</v>
      </c>
      <c r="AD47" s="111">
        <f t="shared" si="113"/>
        <v>219864.17638221479</v>
      </c>
      <c r="AE47" s="7"/>
      <c r="AF47" s="109"/>
    </row>
    <row r="48" spans="1:32" x14ac:dyDescent="0.15">
      <c r="A48" s="106" t="s">
        <v>105</v>
      </c>
      <c r="B48" s="121">
        <f>COGS_Annual_Total</f>
        <v>23473.427088338085</v>
      </c>
      <c r="C48" s="131">
        <f>C14+C20+C26+C32+C38+C44</f>
        <v>2412.8837830224406</v>
      </c>
      <c r="D48" s="131">
        <f t="shared" si="118"/>
        <v>2485.2702965131139</v>
      </c>
      <c r="E48" s="131">
        <f t="shared" si="118"/>
        <v>2559.8284054085075</v>
      </c>
      <c r="F48" s="131">
        <f t="shared" si="118"/>
        <v>2636.6232575707631</v>
      </c>
      <c r="G48" s="131">
        <f t="shared" si="118"/>
        <v>2715.7219552978854</v>
      </c>
      <c r="H48" s="131">
        <f t="shared" si="118"/>
        <v>2797.1936139568224</v>
      </c>
      <c r="I48" s="131">
        <f t="shared" si="118"/>
        <v>2881.1094223755272</v>
      </c>
      <c r="J48" s="131">
        <f t="shared" si="118"/>
        <v>2967.5427050467929</v>
      </c>
      <c r="K48" s="131">
        <f t="shared" si="118"/>
        <v>3056.5689861981969</v>
      </c>
      <c r="L48" s="131">
        <f t="shared" si="118"/>
        <v>3148.2660557841427</v>
      </c>
      <c r="M48" s="131">
        <f t="shared" si="118"/>
        <v>3242.714037457667</v>
      </c>
      <c r="N48" s="131">
        <f t="shared" si="118"/>
        <v>3339.9954585813966</v>
      </c>
      <c r="O48" s="111">
        <f t="shared" si="102"/>
        <v>34243.717977213251</v>
      </c>
      <c r="P48" s="7"/>
      <c r="Q48" s="109"/>
      <c r="R48" s="131">
        <f>R14+R20+R26+R32+R38+R44</f>
        <v>3339.9954585813966</v>
      </c>
      <c r="S48" s="131">
        <f t="shared" ref="S48:AC48" si="120">S14+S20+S26+S32+S38+S44</f>
        <v>3406.7953677530254</v>
      </c>
      <c r="T48" s="131">
        <f t="shared" si="120"/>
        <v>3474.9312751080861</v>
      </c>
      <c r="U48" s="131">
        <f t="shared" si="120"/>
        <v>3544.4299006102474</v>
      </c>
      <c r="V48" s="131">
        <f t="shared" si="120"/>
        <v>3615.3184986224524</v>
      </c>
      <c r="W48" s="131">
        <f t="shared" si="120"/>
        <v>3687.6248685949017</v>
      </c>
      <c r="X48" s="131">
        <f t="shared" si="120"/>
        <v>3761.3773659668</v>
      </c>
      <c r="Y48" s="131">
        <f t="shared" si="120"/>
        <v>3836.6049132861353</v>
      </c>
      <c r="Z48" s="131">
        <f t="shared" si="120"/>
        <v>3913.3370115518583</v>
      </c>
      <c r="AA48" s="131">
        <f t="shared" si="120"/>
        <v>3991.603751782895</v>
      </c>
      <c r="AB48" s="131">
        <f t="shared" si="120"/>
        <v>4071.4358268185529</v>
      </c>
      <c r="AC48" s="131">
        <f t="shared" si="120"/>
        <v>4152.8645433549245</v>
      </c>
      <c r="AD48" s="111">
        <f t="shared" si="113"/>
        <v>44796.318782031274</v>
      </c>
      <c r="AE48" s="7"/>
      <c r="AF48" s="109"/>
    </row>
    <row r="49" spans="1:32" x14ac:dyDescent="0.15">
      <c r="A49" s="106" t="s">
        <v>110</v>
      </c>
      <c r="B49" s="121">
        <f>Margin_Annual_Total</f>
        <v>91736.167225817786</v>
      </c>
      <c r="C49" s="132">
        <f>C47-C48</f>
        <v>9429.7568643387185</v>
      </c>
      <c r="D49" s="132">
        <f t="shared" ref="D49:N49" si="121">D47-D48</f>
        <v>9712.649570268879</v>
      </c>
      <c r="E49" s="132">
        <f t="shared" si="121"/>
        <v>10004.029057376945</v>
      </c>
      <c r="F49" s="132">
        <f t="shared" si="121"/>
        <v>10304.149929098254</v>
      </c>
      <c r="G49" s="132">
        <f t="shared" si="121"/>
        <v>10613.274426971202</v>
      </c>
      <c r="H49" s="132">
        <f t="shared" si="121"/>
        <v>10931.672659780339</v>
      </c>
      <c r="I49" s="132">
        <f t="shared" si="121"/>
        <v>11259.622839573749</v>
      </c>
      <c r="J49" s="132">
        <f t="shared" si="121"/>
        <v>11597.411524760961</v>
      </c>
      <c r="K49" s="132">
        <f t="shared" si="121"/>
        <v>11945.333870503791</v>
      </c>
      <c r="L49" s="132">
        <f t="shared" si="121"/>
        <v>12303.693886618905</v>
      </c>
      <c r="M49" s="132">
        <f t="shared" si="121"/>
        <v>12672.804703217473</v>
      </c>
      <c r="N49" s="132">
        <f t="shared" si="121"/>
        <v>13052.988844313993</v>
      </c>
      <c r="O49" s="121">
        <f>O15+O21+O27+O33+O39+O45</f>
        <v>133827.38817682321</v>
      </c>
      <c r="P49" s="7"/>
      <c r="Q49" s="109"/>
      <c r="R49" s="132">
        <f>R47-R48</f>
        <v>13052.988844313993</v>
      </c>
      <c r="S49" s="132">
        <f t="shared" ref="S49:AC49" si="122">S47-S48</f>
        <v>13314.048621200274</v>
      </c>
      <c r="T49" s="132">
        <f t="shared" si="122"/>
        <v>13580.329593624283</v>
      </c>
      <c r="U49" s="132">
        <f t="shared" si="122"/>
        <v>13851.936185496768</v>
      </c>
      <c r="V49" s="132">
        <f t="shared" si="122"/>
        <v>14128.974909206703</v>
      </c>
      <c r="W49" s="132">
        <f t="shared" si="122"/>
        <v>14411.554407390837</v>
      </c>
      <c r="X49" s="132">
        <f t="shared" si="122"/>
        <v>14699.785495538654</v>
      </c>
      <c r="Y49" s="132">
        <f t="shared" si="122"/>
        <v>14993.781205449426</v>
      </c>
      <c r="Z49" s="132">
        <f t="shared" si="122"/>
        <v>15293.656829558411</v>
      </c>
      <c r="AA49" s="132">
        <f t="shared" si="122"/>
        <v>15599.529966149581</v>
      </c>
      <c r="AB49" s="132">
        <f t="shared" si="122"/>
        <v>15911.520565472572</v>
      </c>
      <c r="AC49" s="132">
        <f t="shared" si="122"/>
        <v>16229.75097678203</v>
      </c>
      <c r="AD49" s="121">
        <f>AD15+AD21+AD27+AD33+AD39+AD45</f>
        <v>175067.85760018355</v>
      </c>
      <c r="AE49" s="7"/>
      <c r="AF49" s="109"/>
    </row>
  </sheetData>
  <sheetProtection algorithmName="SHA-512" hashValue="ikelmI1yMClOPSLuYU8pdsgW05XTU4IPSrSJjEqsc7UO/WQknZcqPfGnmyn5lVw23RxdUPeyKejZ88g8+PhFjA==" saltValue="3tk5TUqKvxSAHtU21MqUmg==" spinCount="100000" sheet="1" formatColumns="0"/>
  <mergeCells count="1">
    <mergeCell ref="C5:D5"/>
  </mergeCells>
  <phoneticPr fontId="3" type="noConversion"/>
  <conditionalFormatting sqref="C12:N15">
    <cfRule type="containsBlanks" dxfId="59" priority="19" stopIfTrue="1">
      <formula>LEN(TRIM(C12))=0</formula>
    </cfRule>
  </conditionalFormatting>
  <conditionalFormatting sqref="C18:N21">
    <cfRule type="containsBlanks" dxfId="58" priority="16" stopIfTrue="1">
      <formula>LEN(TRIM(C18))=0</formula>
    </cfRule>
  </conditionalFormatting>
  <conditionalFormatting sqref="C24:N27">
    <cfRule type="containsBlanks" dxfId="57" priority="15" stopIfTrue="1">
      <formula>LEN(TRIM(C24))=0</formula>
    </cfRule>
  </conditionalFormatting>
  <conditionalFormatting sqref="C30:N33">
    <cfRule type="containsBlanks" dxfId="56" priority="14" stopIfTrue="1">
      <formula>LEN(TRIM(C30))=0</formula>
    </cfRule>
  </conditionalFormatting>
  <conditionalFormatting sqref="C36:N39">
    <cfRule type="containsBlanks" dxfId="55" priority="13" stopIfTrue="1">
      <formula>LEN(TRIM(C36))=0</formula>
    </cfRule>
  </conditionalFormatting>
  <conditionalFormatting sqref="C42:N44">
    <cfRule type="containsBlanks" dxfId="54" priority="12" stopIfTrue="1">
      <formula>LEN(TRIM(C42))=0</formula>
    </cfRule>
  </conditionalFormatting>
  <conditionalFormatting sqref="R12:AC14">
    <cfRule type="containsBlanks" dxfId="53" priority="6" stopIfTrue="1">
      <formula>LEN(TRIM(R12))=0</formula>
    </cfRule>
  </conditionalFormatting>
  <conditionalFormatting sqref="R18:AC20">
    <cfRule type="containsBlanks" dxfId="52" priority="5" stopIfTrue="1">
      <formula>LEN(TRIM(R18))=0</formula>
    </cfRule>
  </conditionalFormatting>
  <conditionalFormatting sqref="R24:AC26">
    <cfRule type="containsBlanks" dxfId="51" priority="4" stopIfTrue="1">
      <formula>LEN(TRIM(R24))=0</formula>
    </cfRule>
  </conditionalFormatting>
  <conditionalFormatting sqref="R30:AC32">
    <cfRule type="containsBlanks" dxfId="50" priority="3" stopIfTrue="1">
      <formula>LEN(TRIM(R30))=0</formula>
    </cfRule>
  </conditionalFormatting>
  <conditionalFormatting sqref="R36:AC38">
    <cfRule type="containsBlanks" dxfId="49" priority="2" stopIfTrue="1">
      <formula>LEN(TRIM(R36))=0</formula>
    </cfRule>
  </conditionalFormatting>
  <conditionalFormatting sqref="R42:AC44">
    <cfRule type="containsBlanks" dxfId="48" priority="1" stopIfTrue="1">
      <formula>LEN(TRIM(R42))=0</formula>
    </cfRule>
  </conditionalFormatting>
  <printOptions horizontalCentered="1"/>
  <pageMargins left="0.7" right="0.7" top="0.75" bottom="0.75" header="0.3" footer="0.3"/>
  <pageSetup scale="57" fitToWidth="2" orientation="landscape" r:id="rId1"/>
  <headerFooter differentFirst="1" scaleWithDoc="0">
    <oddHeader>&amp;C&amp;"Gill Sans MT,Regular"&amp;12Sales Forecast Years 1-3</oddHeader>
    <oddFooter>&amp;L&amp;"Gill Sans MT,Regular"&amp;12&amp;F&amp;C&amp;"Gill Sans MT,Regular"&amp;12&amp;A&amp;R&amp;"Gill Sans MT,Regular"&amp;12&amp;D &amp;T</oddFooter>
    <evenHeader>&amp;C&amp;"Gill Sans MT,Regular"&amp;12Sales Forecast Years 1-3</evenHeader>
    <firstHeader>&amp;C&amp;"Gill Sans MT,Regular"&amp;12Sales Forecast Years 1-3</firstHeader>
    <firstFooter>&amp;L&amp;F&amp;C&amp;A&amp;R&amp;D &amp;T</firstFooter>
  </headerFooter>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rgb="FFFFC95B"/>
    <pageSetUpPr fitToPage="1"/>
  </sheetPr>
  <dimension ref="B2:R44"/>
  <sheetViews>
    <sheetView zoomScale="227" zoomScaleNormal="100" zoomScalePageLayoutView="50" workbookViewId="0">
      <selection activeCell="H8" sqref="H8"/>
    </sheetView>
  </sheetViews>
  <sheetFormatPr baseColWidth="10" defaultColWidth="8.83203125" defaultRowHeight="12" x14ac:dyDescent="0.15"/>
  <cols>
    <col min="1" max="1" width="6.6640625" style="46" customWidth="1"/>
    <col min="2" max="2" width="30.83203125" style="46" bestFit="1" customWidth="1"/>
    <col min="3" max="3" width="17.5" style="46" bestFit="1" customWidth="1"/>
    <col min="4" max="4" width="13.5" style="46" bestFit="1" customWidth="1"/>
    <col min="5" max="11" width="9.6640625" style="46" customWidth="1"/>
    <col min="12" max="12" width="11.83203125" style="46" bestFit="1" customWidth="1"/>
    <col min="13" max="13" width="9.6640625" style="46" customWidth="1"/>
    <col min="14" max="15" width="11.1640625" style="46" bestFit="1" customWidth="1"/>
    <col min="16" max="16" width="15.6640625" style="46" bestFit="1" customWidth="1"/>
    <col min="17" max="18" width="9.33203125" style="46" customWidth="1"/>
    <col min="19" max="16384" width="8.83203125" style="46"/>
  </cols>
  <sheetData>
    <row r="2" spans="2:5" x14ac:dyDescent="0.15">
      <c r="B2" s="9" t="s">
        <v>329</v>
      </c>
      <c r="C2" s="168"/>
      <c r="E2" s="148"/>
    </row>
    <row r="3" spans="2:5" x14ac:dyDescent="0.15">
      <c r="B3" s="168"/>
      <c r="C3" s="168"/>
    </row>
    <row r="4" spans="2:5" x14ac:dyDescent="0.15">
      <c r="B4" s="160" t="s">
        <v>130</v>
      </c>
      <c r="C4" s="160" t="s">
        <v>131</v>
      </c>
    </row>
    <row r="5" spans="2:5" x14ac:dyDescent="0.15">
      <c r="B5" s="169" t="str">
        <f>IF(ISBLANK(Directions!C10), "Owner", Directions!C10)</f>
        <v>Dave Johnson</v>
      </c>
      <c r="C5" s="169" t="str">
        <f>IF(ISBLANK(Directions!D10), "Company 1", Directions!D10)</f>
        <v>Dave's Famous Pretzels</v>
      </c>
    </row>
    <row r="6" spans="2:5" x14ac:dyDescent="0.15">
      <c r="B6" s="170"/>
    </row>
    <row r="7" spans="2:5" ht="13" thickBot="1" x14ac:dyDescent="0.2">
      <c r="B7" s="506" t="s">
        <v>330</v>
      </c>
      <c r="C7" s="506"/>
      <c r="D7" s="506"/>
      <c r="E7" s="506"/>
    </row>
    <row r="8" spans="2:5" ht="13" thickTop="1" x14ac:dyDescent="0.15">
      <c r="B8" s="332" t="s">
        <v>277</v>
      </c>
      <c r="C8" s="333" t="s">
        <v>249</v>
      </c>
      <c r="D8" s="333" t="s">
        <v>250</v>
      </c>
      <c r="E8" s="333" t="s">
        <v>251</v>
      </c>
    </row>
    <row r="9" spans="2:5" x14ac:dyDescent="0.15">
      <c r="B9" s="171" t="s">
        <v>278</v>
      </c>
      <c r="C9" s="172">
        <v>1</v>
      </c>
      <c r="D9" s="172">
        <v>1</v>
      </c>
      <c r="E9" s="172">
        <v>1</v>
      </c>
    </row>
    <row r="10" spans="2:5" x14ac:dyDescent="0.15">
      <c r="B10" s="171" t="s">
        <v>279</v>
      </c>
      <c r="C10" s="172">
        <v>0</v>
      </c>
      <c r="D10" s="172">
        <v>0</v>
      </c>
      <c r="E10" s="172">
        <v>0</v>
      </c>
    </row>
    <row r="11" spans="2:5" x14ac:dyDescent="0.15">
      <c r="B11" s="171" t="s">
        <v>280</v>
      </c>
      <c r="C11" s="172">
        <v>0</v>
      </c>
      <c r="D11" s="172">
        <v>0</v>
      </c>
      <c r="E11" s="172">
        <v>0</v>
      </c>
    </row>
    <row r="12" spans="2:5" x14ac:dyDescent="0.15">
      <c r="B12" s="171" t="s">
        <v>19</v>
      </c>
      <c r="C12" s="176">
        <f>1-SUM(C9:C11)</f>
        <v>0</v>
      </c>
      <c r="D12" s="176">
        <f t="shared" ref="D12:E12" si="0">1-SUM(D9:D11)</f>
        <v>0</v>
      </c>
      <c r="E12" s="176">
        <f t="shared" si="0"/>
        <v>0</v>
      </c>
    </row>
    <row r="13" spans="2:5" x14ac:dyDescent="0.15">
      <c r="B13" s="180" t="s">
        <v>304</v>
      </c>
      <c r="C13" s="181">
        <f>SUM(C9:C12)</f>
        <v>1</v>
      </c>
      <c r="D13" s="181">
        <f t="shared" ref="D13:E13" si="1">SUM(D9:D12)</f>
        <v>1</v>
      </c>
      <c r="E13" s="181">
        <f t="shared" si="1"/>
        <v>1</v>
      </c>
    </row>
    <row r="15" spans="2:5" ht="13" thickBot="1" x14ac:dyDescent="0.2">
      <c r="B15" s="506" t="s">
        <v>276</v>
      </c>
      <c r="C15" s="506"/>
      <c r="D15" s="506"/>
      <c r="E15" s="506"/>
    </row>
    <row r="16" spans="2:5" ht="13" thickTop="1" x14ac:dyDescent="0.15">
      <c r="B16" s="332" t="s">
        <v>281</v>
      </c>
      <c r="C16" s="333" t="s">
        <v>249</v>
      </c>
      <c r="D16" s="333" t="s">
        <v>250</v>
      </c>
      <c r="E16" s="333" t="s">
        <v>251</v>
      </c>
    </row>
    <row r="17" spans="2:18" x14ac:dyDescent="0.15">
      <c r="B17" s="173" t="s">
        <v>278</v>
      </c>
      <c r="C17" s="172">
        <v>1</v>
      </c>
      <c r="D17" s="172">
        <v>1</v>
      </c>
      <c r="E17" s="172">
        <v>1</v>
      </c>
    </row>
    <row r="18" spans="2:18" x14ac:dyDescent="0.15">
      <c r="B18" s="173" t="s">
        <v>279</v>
      </c>
      <c r="C18" s="172">
        <v>0</v>
      </c>
      <c r="D18" s="172">
        <v>0</v>
      </c>
      <c r="E18" s="172">
        <v>0</v>
      </c>
    </row>
    <row r="19" spans="2:18" x14ac:dyDescent="0.15">
      <c r="B19" s="51" t="s">
        <v>280</v>
      </c>
      <c r="C19" s="172">
        <v>0</v>
      </c>
      <c r="D19" s="172">
        <v>0</v>
      </c>
      <c r="E19" s="172">
        <v>0</v>
      </c>
    </row>
    <row r="20" spans="2:18" x14ac:dyDescent="0.15">
      <c r="B20" s="180" t="s">
        <v>304</v>
      </c>
      <c r="C20" s="181">
        <f>SUM(C17:C19)</f>
        <v>1</v>
      </c>
      <c r="D20" s="181">
        <f t="shared" ref="D20:E20" si="2">SUM(D17:D19)</f>
        <v>1</v>
      </c>
      <c r="E20" s="181">
        <f t="shared" si="2"/>
        <v>1</v>
      </c>
    </row>
    <row r="23" spans="2:18" ht="13" thickBot="1" x14ac:dyDescent="0.2">
      <c r="B23" s="506" t="s">
        <v>196</v>
      </c>
      <c r="C23" s="506"/>
      <c r="D23" s="506"/>
    </row>
    <row r="24" spans="2:18" ht="13" thickTop="1" x14ac:dyDescent="0.15">
      <c r="B24" s="507" t="s">
        <v>197</v>
      </c>
      <c r="C24" s="508"/>
      <c r="D24" s="334">
        <v>0</v>
      </c>
    </row>
    <row r="25" spans="2:18" x14ac:dyDescent="0.15">
      <c r="B25" s="509" t="s">
        <v>198</v>
      </c>
      <c r="C25" s="510"/>
      <c r="D25" s="177">
        <v>0</v>
      </c>
    </row>
    <row r="27" spans="2:18" ht="13" thickBot="1" x14ac:dyDescent="0.2">
      <c r="B27" s="506" t="s">
        <v>256</v>
      </c>
      <c r="C27" s="506"/>
      <c r="D27" s="506"/>
      <c r="E27" s="506"/>
      <c r="F27" s="506"/>
      <c r="G27" s="506"/>
      <c r="H27" s="506"/>
      <c r="I27" s="506"/>
      <c r="J27" s="506"/>
      <c r="K27" s="506"/>
      <c r="L27" s="506"/>
      <c r="M27" s="506"/>
      <c r="N27" s="506"/>
      <c r="O27" s="506"/>
      <c r="P27" s="506"/>
      <c r="Q27" s="506"/>
      <c r="R27" s="506"/>
    </row>
    <row r="28" spans="2:18" ht="27" thickTop="1" x14ac:dyDescent="0.15">
      <c r="B28" s="335" t="s">
        <v>33</v>
      </c>
      <c r="C28" s="336" t="s">
        <v>157</v>
      </c>
      <c r="D28" s="337" t="str">
        <f>'2a-PayrollYear1'!F7</f>
        <v>January</v>
      </c>
      <c r="E28" s="337" t="str">
        <f>'2a-PayrollYear1'!G7</f>
        <v>February</v>
      </c>
      <c r="F28" s="337" t="str">
        <f>'2a-PayrollYear1'!H7</f>
        <v>March</v>
      </c>
      <c r="G28" s="337" t="str">
        <f>'2a-PayrollYear1'!I7</f>
        <v>April</v>
      </c>
      <c r="H28" s="337" t="str">
        <f>'2a-PayrollYear1'!J7</f>
        <v>May</v>
      </c>
      <c r="I28" s="337" t="str">
        <f>'2a-PayrollYear1'!K7</f>
        <v>June</v>
      </c>
      <c r="J28" s="337" t="str">
        <f>'2a-PayrollYear1'!L7</f>
        <v>July</v>
      </c>
      <c r="K28" s="337" t="str">
        <f>'2a-PayrollYear1'!M7</f>
        <v>August</v>
      </c>
      <c r="L28" s="337" t="str">
        <f>'2a-PayrollYear1'!N7</f>
        <v>September</v>
      </c>
      <c r="M28" s="337" t="str">
        <f>'2a-PayrollYear1'!O7</f>
        <v>October</v>
      </c>
      <c r="N28" s="337" t="str">
        <f>'2a-PayrollYear1'!P7</f>
        <v>November</v>
      </c>
      <c r="O28" s="337" t="str">
        <f>'2a-PayrollYear1'!Q7</f>
        <v>December</v>
      </c>
      <c r="P28" s="338" t="s">
        <v>206</v>
      </c>
      <c r="Q28" s="337" t="s">
        <v>223</v>
      </c>
      <c r="R28" s="337" t="s">
        <v>224</v>
      </c>
    </row>
    <row r="29" spans="2:18" x14ac:dyDescent="0.15">
      <c r="B29" s="179" t="s">
        <v>349</v>
      </c>
      <c r="C29" s="54">
        <v>20</v>
      </c>
      <c r="D29" s="300">
        <f>Buildings</f>
        <v>0</v>
      </c>
      <c r="E29" s="307"/>
      <c r="F29" s="308"/>
      <c r="G29" s="308"/>
      <c r="H29" s="308"/>
      <c r="I29" s="308"/>
      <c r="J29" s="308"/>
      <c r="K29" s="308"/>
      <c r="L29" s="308"/>
      <c r="M29" s="308"/>
      <c r="N29" s="308"/>
      <c r="O29" s="308"/>
      <c r="P29" s="50">
        <f t="shared" ref="P29:P34" si="3">SUM(D29:O29)</f>
        <v>0</v>
      </c>
      <c r="Q29" s="311"/>
      <c r="R29" s="311"/>
    </row>
    <row r="30" spans="2:18" x14ac:dyDescent="0.15">
      <c r="B30" s="179" t="s">
        <v>35</v>
      </c>
      <c r="C30" s="54">
        <v>7</v>
      </c>
      <c r="D30" s="300">
        <f>LeaseImprovements</f>
        <v>0</v>
      </c>
      <c r="E30" s="307"/>
      <c r="F30" s="308"/>
      <c r="G30" s="308"/>
      <c r="H30" s="308"/>
      <c r="I30" s="308"/>
      <c r="J30" s="308"/>
      <c r="K30" s="308"/>
      <c r="L30" s="308"/>
      <c r="M30" s="308"/>
      <c r="N30" s="308"/>
      <c r="O30" s="308"/>
      <c r="P30" s="50">
        <f t="shared" si="3"/>
        <v>0</v>
      </c>
      <c r="Q30" s="311"/>
      <c r="R30" s="311"/>
    </row>
    <row r="31" spans="2:18" x14ac:dyDescent="0.15">
      <c r="B31" s="179" t="s">
        <v>2</v>
      </c>
      <c r="C31" s="54">
        <v>7</v>
      </c>
      <c r="D31" s="300">
        <f>Equipment</f>
        <v>63000</v>
      </c>
      <c r="E31" s="307"/>
      <c r="F31" s="308"/>
      <c r="G31" s="308"/>
      <c r="H31" s="308"/>
      <c r="I31" s="308"/>
      <c r="J31" s="308"/>
      <c r="K31" s="308"/>
      <c r="L31" s="308"/>
      <c r="M31" s="308"/>
      <c r="N31" s="308"/>
      <c r="O31" s="308"/>
      <c r="P31" s="50">
        <f>SUM(D31:O31)</f>
        <v>63000</v>
      </c>
      <c r="Q31" s="311"/>
      <c r="R31" s="311"/>
    </row>
    <row r="32" spans="2:18" x14ac:dyDescent="0.15">
      <c r="B32" s="179" t="s">
        <v>36</v>
      </c>
      <c r="C32" s="54">
        <v>5</v>
      </c>
      <c r="D32" s="300">
        <f>Furniture</f>
        <v>0</v>
      </c>
      <c r="E32" s="307"/>
      <c r="F32" s="308"/>
      <c r="G32" s="308"/>
      <c r="H32" s="308"/>
      <c r="I32" s="308"/>
      <c r="J32" s="308"/>
      <c r="K32" s="308"/>
      <c r="L32" s="308"/>
      <c r="M32" s="308"/>
      <c r="N32" s="308"/>
      <c r="O32" s="308"/>
      <c r="P32" s="50">
        <f t="shared" si="3"/>
        <v>0</v>
      </c>
      <c r="Q32" s="311"/>
      <c r="R32" s="311"/>
    </row>
    <row r="33" spans="2:18" x14ac:dyDescent="0.15">
      <c r="B33" s="179" t="s">
        <v>3</v>
      </c>
      <c r="C33" s="54">
        <v>5</v>
      </c>
      <c r="D33" s="300">
        <f>Vehicles</f>
        <v>120000</v>
      </c>
      <c r="E33" s="307"/>
      <c r="F33" s="308"/>
      <c r="G33" s="308"/>
      <c r="H33" s="308"/>
      <c r="I33" s="308"/>
      <c r="J33" s="308"/>
      <c r="K33" s="308"/>
      <c r="L33" s="308"/>
      <c r="M33" s="308"/>
      <c r="N33" s="308"/>
      <c r="O33" s="308"/>
      <c r="P33" s="50">
        <f t="shared" si="3"/>
        <v>120000</v>
      </c>
      <c r="Q33" s="311"/>
      <c r="R33" s="311"/>
    </row>
    <row r="34" spans="2:18" x14ac:dyDescent="0.15">
      <c r="B34" s="179" t="s">
        <v>37</v>
      </c>
      <c r="C34" s="178">
        <v>5</v>
      </c>
      <c r="D34" s="306">
        <f>OtherFixedAssets</f>
        <v>0</v>
      </c>
      <c r="E34" s="309"/>
      <c r="F34" s="310"/>
      <c r="G34" s="308"/>
      <c r="H34" s="308"/>
      <c r="I34" s="308"/>
      <c r="J34" s="308"/>
      <c r="K34" s="308"/>
      <c r="L34" s="308"/>
      <c r="M34" s="308"/>
      <c r="N34" s="308"/>
      <c r="O34" s="308"/>
      <c r="P34" s="50">
        <f t="shared" si="3"/>
        <v>0</v>
      </c>
      <c r="Q34" s="311">
        <v>0</v>
      </c>
      <c r="R34" s="311">
        <v>0</v>
      </c>
    </row>
    <row r="35" spans="2:18" x14ac:dyDescent="0.15">
      <c r="B35" s="175" t="s">
        <v>222</v>
      </c>
      <c r="C35" s="48"/>
      <c r="D35" s="86">
        <f>SUM(D29:D34)</f>
        <v>183000</v>
      </c>
      <c r="E35" s="86">
        <f t="shared" ref="E35:R35" si="4">SUM(E29:E34)</f>
        <v>0</v>
      </c>
      <c r="F35" s="86">
        <f t="shared" si="4"/>
        <v>0</v>
      </c>
      <c r="G35" s="86">
        <f t="shared" si="4"/>
        <v>0</v>
      </c>
      <c r="H35" s="86">
        <f t="shared" si="4"/>
        <v>0</v>
      </c>
      <c r="I35" s="86">
        <f t="shared" si="4"/>
        <v>0</v>
      </c>
      <c r="J35" s="86">
        <f t="shared" si="4"/>
        <v>0</v>
      </c>
      <c r="K35" s="86">
        <f t="shared" si="4"/>
        <v>0</v>
      </c>
      <c r="L35" s="86">
        <f t="shared" si="4"/>
        <v>0</v>
      </c>
      <c r="M35" s="86">
        <f t="shared" si="4"/>
        <v>0</v>
      </c>
      <c r="N35" s="86">
        <f t="shared" si="4"/>
        <v>0</v>
      </c>
      <c r="O35" s="86">
        <f t="shared" si="4"/>
        <v>0</v>
      </c>
      <c r="P35" s="86">
        <f t="shared" si="4"/>
        <v>183000</v>
      </c>
      <c r="Q35" s="86">
        <f t="shared" si="4"/>
        <v>0</v>
      </c>
      <c r="R35" s="86">
        <f t="shared" si="4"/>
        <v>0</v>
      </c>
    </row>
    <row r="38" spans="2:18" ht="13" thickBot="1" x14ac:dyDescent="0.2">
      <c r="B38" s="506" t="s">
        <v>257</v>
      </c>
      <c r="C38" s="506"/>
      <c r="D38" s="31"/>
      <c r="E38" s="31"/>
      <c r="F38" s="32"/>
      <c r="G38" s="33"/>
      <c r="H38" s="34"/>
    </row>
    <row r="39" spans="2:18" ht="13" thickTop="1" x14ac:dyDescent="0.15">
      <c r="B39" s="322" t="s">
        <v>352</v>
      </c>
      <c r="C39" s="339">
        <v>0</v>
      </c>
      <c r="D39" s="31"/>
      <c r="E39" s="31"/>
      <c r="F39" s="32"/>
      <c r="G39" s="35"/>
    </row>
    <row r="40" spans="2:18" x14ac:dyDescent="0.15">
      <c r="B40" s="322" t="s">
        <v>353</v>
      </c>
      <c r="C40" s="339">
        <v>0</v>
      </c>
      <c r="D40" s="31"/>
      <c r="E40" s="31"/>
      <c r="F40" s="32"/>
      <c r="G40" s="35"/>
    </row>
    <row r="41" spans="2:18" x14ac:dyDescent="0.15">
      <c r="B41" s="322" t="s">
        <v>354</v>
      </c>
      <c r="C41" s="339">
        <v>0</v>
      </c>
    </row>
    <row r="43" spans="2:18" ht="13" thickBot="1" x14ac:dyDescent="0.2">
      <c r="B43" s="506" t="s">
        <v>260</v>
      </c>
      <c r="C43" s="506"/>
    </row>
    <row r="44" spans="2:18" ht="13" thickTop="1" x14ac:dyDescent="0.15">
      <c r="B44" s="340" t="s">
        <v>287</v>
      </c>
      <c r="C44" s="341">
        <v>3</v>
      </c>
    </row>
  </sheetData>
  <sheetProtection formatColumns="0" formatRows="0"/>
  <mergeCells count="8">
    <mergeCell ref="B38:C38"/>
    <mergeCell ref="B43:C43"/>
    <mergeCell ref="B27:R27"/>
    <mergeCell ref="B15:E15"/>
    <mergeCell ref="B7:E7"/>
    <mergeCell ref="B24:C24"/>
    <mergeCell ref="B25:C25"/>
    <mergeCell ref="B23:D23"/>
  </mergeCells>
  <phoneticPr fontId="3" type="noConversion"/>
  <conditionalFormatting sqref="D29:O34 Q29:R34">
    <cfRule type="containsBlanks" dxfId="47" priority="3">
      <formula>LEN(TRIM(D29))=0</formula>
    </cfRule>
  </conditionalFormatting>
  <printOptions horizontalCentered="1"/>
  <pageMargins left="0.7" right="0.7" top="0.75" bottom="0.75" header="0.3" footer="0.3"/>
  <pageSetup scale="58" orientation="landscape" r:id="rId1"/>
  <headerFooter scaleWithDoc="0">
    <oddHeader>&amp;C&amp;"Gill Sans MT,Regular"&amp;12Additional Inputs</oddHeader>
    <oddFooter>&amp;L&amp;"Gill Sans MT,Regular"&amp;12&amp;F&amp;C&amp;"Gill Sans MT,Regular"&amp;12&amp;A&amp;R&amp;"Gill Sans MT,Regular"&amp;12&amp;D &amp;T</oddFooter>
  </headerFooter>
  <ignoredErrors>
    <ignoredError sqref="P29 P30 P32:P34" formulaRange="1"/>
  </ignoredError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tabColor rgb="FFFFC95B"/>
    <pageSetUpPr fitToPage="1"/>
  </sheetPr>
  <dimension ref="A2:R38"/>
  <sheetViews>
    <sheetView topLeftCell="A5" zoomScale="219" zoomScaleNormal="100" zoomScalePageLayoutView="60" workbookViewId="0">
      <selection activeCell="C35" sqref="C35"/>
    </sheetView>
  </sheetViews>
  <sheetFormatPr baseColWidth="10" defaultColWidth="8.83203125" defaultRowHeight="12" x14ac:dyDescent="0.15"/>
  <cols>
    <col min="1" max="1" width="8.83203125" style="46"/>
    <col min="2" max="2" width="46.6640625" style="46" bestFit="1" customWidth="1"/>
    <col min="3" max="13" width="9.6640625" style="46" customWidth="1"/>
    <col min="14" max="14" width="11.33203125" style="46" bestFit="1" customWidth="1"/>
    <col min="15" max="15" width="15.33203125" style="46" bestFit="1" customWidth="1"/>
    <col min="16" max="17" width="8.83203125" style="46"/>
    <col min="18" max="18" width="14.83203125" style="46" bestFit="1" customWidth="1"/>
    <col min="19" max="16384" width="8.83203125" style="46"/>
  </cols>
  <sheetData>
    <row r="2" spans="1:15" x14ac:dyDescent="0.15">
      <c r="A2" s="145"/>
      <c r="B2" s="58" t="s">
        <v>327</v>
      </c>
      <c r="C2" s="56"/>
      <c r="D2" s="146"/>
    </row>
    <row r="3" spans="1:15" ht="18" customHeight="1" x14ac:dyDescent="0.15">
      <c r="A3" s="145"/>
      <c r="B3" s="56"/>
      <c r="C3" s="56"/>
      <c r="D3" s="146"/>
    </row>
    <row r="4" spans="1:15" x14ac:dyDescent="0.15">
      <c r="A4" s="145"/>
      <c r="B4" s="147" t="s">
        <v>130</v>
      </c>
      <c r="C4" s="511" t="s">
        <v>131</v>
      </c>
      <c r="D4" s="511"/>
      <c r="N4" s="148"/>
    </row>
    <row r="5" spans="1:15" x14ac:dyDescent="0.15">
      <c r="A5" s="145"/>
      <c r="B5" s="46" t="str">
        <f>IF(ISBLANK(Directions!C10), "Owner", Directions!C10)</f>
        <v>Dave Johnson</v>
      </c>
      <c r="C5" s="46" t="str">
        <f>IF(ISBLANK(Directions!D10), "Company 1", Directions!D10)</f>
        <v>Dave's Famous Pretzels</v>
      </c>
      <c r="E5" s="103"/>
      <c r="N5" s="148"/>
    </row>
    <row r="6" spans="1:15" x14ac:dyDescent="0.15">
      <c r="A6" s="145"/>
    </row>
    <row r="7" spans="1:15" x14ac:dyDescent="0.15">
      <c r="A7" s="145"/>
      <c r="D7" s="503"/>
      <c r="E7" s="503"/>
      <c r="F7" s="503"/>
      <c r="G7" s="503"/>
      <c r="H7" s="503"/>
      <c r="I7" s="503"/>
      <c r="J7" s="503"/>
      <c r="K7" s="503"/>
      <c r="L7" s="503"/>
      <c r="M7" s="503"/>
      <c r="N7" s="503"/>
      <c r="O7" s="503"/>
    </row>
    <row r="8" spans="1:15" ht="14" thickBot="1" x14ac:dyDescent="0.2">
      <c r="A8" s="145"/>
      <c r="B8" s="149"/>
      <c r="C8" s="344" t="str">
        <f>'2a-PayrollYear1'!F7</f>
        <v>January</v>
      </c>
      <c r="D8" s="344" t="str">
        <f>'2a-PayrollYear1'!G7</f>
        <v>February</v>
      </c>
      <c r="E8" s="344" t="str">
        <f>'2a-PayrollYear1'!H7</f>
        <v>March</v>
      </c>
      <c r="F8" s="344" t="str">
        <f>'2a-PayrollYear1'!I7</f>
        <v>April</v>
      </c>
      <c r="G8" s="344" t="str">
        <f>'2a-PayrollYear1'!J7</f>
        <v>May</v>
      </c>
      <c r="H8" s="344" t="str">
        <f>'2a-PayrollYear1'!K7</f>
        <v>June</v>
      </c>
      <c r="I8" s="344" t="str">
        <f>'2a-PayrollYear1'!L7</f>
        <v>July</v>
      </c>
      <c r="J8" s="344" t="str">
        <f>'2a-PayrollYear1'!M7</f>
        <v>August</v>
      </c>
      <c r="K8" s="344" t="str">
        <f>'2a-PayrollYear1'!N7</f>
        <v>September</v>
      </c>
      <c r="L8" s="344" t="str">
        <f>'2a-PayrollYear1'!O7</f>
        <v>October</v>
      </c>
      <c r="M8" s="344" t="str">
        <f>'2a-PayrollYear1'!P7</f>
        <v>November</v>
      </c>
      <c r="N8" s="344" t="str">
        <f>'2a-PayrollYear1'!Q7</f>
        <v>December</v>
      </c>
      <c r="O8" s="344" t="s">
        <v>81</v>
      </c>
    </row>
    <row r="9" spans="1:15" ht="13" thickTop="1" x14ac:dyDescent="0.15">
      <c r="A9" s="145"/>
      <c r="B9" s="150" t="s">
        <v>173</v>
      </c>
      <c r="C9" s="151"/>
      <c r="D9" s="151"/>
      <c r="E9" s="151"/>
      <c r="F9" s="151"/>
      <c r="G9" s="151"/>
      <c r="H9" s="151"/>
      <c r="I9" s="151"/>
      <c r="J9" s="151"/>
      <c r="K9" s="151"/>
      <c r="L9" s="151"/>
      <c r="M9" s="151"/>
      <c r="N9" s="151"/>
      <c r="O9" s="152"/>
    </row>
    <row r="10" spans="1:15" x14ac:dyDescent="0.15">
      <c r="A10" s="145"/>
      <c r="B10" s="153" t="s">
        <v>14</v>
      </c>
      <c r="C10" s="154">
        <v>100</v>
      </c>
      <c r="D10" s="154">
        <v>100</v>
      </c>
      <c r="E10" s="154">
        <v>100</v>
      </c>
      <c r="F10" s="154">
        <v>200</v>
      </c>
      <c r="G10" s="154">
        <v>200</v>
      </c>
      <c r="H10" s="154">
        <v>200</v>
      </c>
      <c r="I10" s="154">
        <v>200</v>
      </c>
      <c r="J10" s="154">
        <v>200</v>
      </c>
      <c r="K10" s="154">
        <v>200</v>
      </c>
      <c r="L10" s="154">
        <v>200</v>
      </c>
      <c r="M10" s="154">
        <v>200</v>
      </c>
      <c r="N10" s="154">
        <v>200</v>
      </c>
      <c r="O10" s="60">
        <f t="shared" ref="O10:O25" si="0">SUM(C10:N10)</f>
        <v>2100</v>
      </c>
    </row>
    <row r="11" spans="1:15" x14ac:dyDescent="0.15">
      <c r="A11" s="145"/>
      <c r="B11" s="153" t="s">
        <v>147</v>
      </c>
      <c r="C11" s="154"/>
      <c r="D11" s="154"/>
      <c r="E11" s="154"/>
      <c r="F11" s="154"/>
      <c r="G11" s="154"/>
      <c r="H11" s="154"/>
      <c r="I11" s="154"/>
      <c r="J11" s="154"/>
      <c r="K11" s="154"/>
      <c r="L11" s="154"/>
      <c r="M11" s="154"/>
      <c r="N11" s="154"/>
      <c r="O11" s="60">
        <f t="shared" si="0"/>
        <v>0</v>
      </c>
    </row>
    <row r="12" spans="1:15" x14ac:dyDescent="0.15">
      <c r="A12" s="145"/>
      <c r="B12" s="153" t="s">
        <v>148</v>
      </c>
      <c r="C12" s="154"/>
      <c r="D12" s="154"/>
      <c r="E12" s="154"/>
      <c r="F12" s="154"/>
      <c r="G12" s="154"/>
      <c r="H12" s="154"/>
      <c r="I12" s="154"/>
      <c r="J12" s="154"/>
      <c r="K12" s="154"/>
      <c r="L12" s="154"/>
      <c r="M12" s="154"/>
      <c r="N12" s="154"/>
      <c r="O12" s="60">
        <f t="shared" si="0"/>
        <v>0</v>
      </c>
    </row>
    <row r="13" spans="1:15" x14ac:dyDescent="0.15">
      <c r="A13" s="145"/>
      <c r="B13" s="153" t="s">
        <v>171</v>
      </c>
      <c r="C13" s="154"/>
      <c r="D13" s="154"/>
      <c r="E13" s="154"/>
      <c r="F13" s="154"/>
      <c r="G13" s="154"/>
      <c r="H13" s="154"/>
      <c r="I13" s="154"/>
      <c r="J13" s="154"/>
      <c r="K13" s="154"/>
      <c r="L13" s="154"/>
      <c r="M13" s="154"/>
      <c r="N13" s="154"/>
      <c r="O13" s="60">
        <f t="shared" si="0"/>
        <v>0</v>
      </c>
    </row>
    <row r="14" spans="1:15" x14ac:dyDescent="0.15">
      <c r="A14" s="145"/>
      <c r="B14" s="153" t="s">
        <v>150</v>
      </c>
      <c r="C14" s="154"/>
      <c r="D14" s="154"/>
      <c r="E14" s="154"/>
      <c r="F14" s="154"/>
      <c r="G14" s="154"/>
      <c r="H14" s="154"/>
      <c r="I14" s="154"/>
      <c r="J14" s="154"/>
      <c r="K14" s="154"/>
      <c r="L14" s="154"/>
      <c r="M14" s="154"/>
      <c r="N14" s="154"/>
      <c r="O14" s="60">
        <f t="shared" si="0"/>
        <v>0</v>
      </c>
    </row>
    <row r="15" spans="1:15" x14ac:dyDescent="0.15">
      <c r="A15" s="145"/>
      <c r="B15" s="153" t="s">
        <v>151</v>
      </c>
      <c r="C15" s="154"/>
      <c r="D15" s="154"/>
      <c r="E15" s="154"/>
      <c r="F15" s="154"/>
      <c r="G15" s="154"/>
      <c r="H15" s="154"/>
      <c r="I15" s="154"/>
      <c r="J15" s="154"/>
      <c r="K15" s="154"/>
      <c r="L15" s="154"/>
      <c r="M15" s="154"/>
      <c r="N15" s="154"/>
      <c r="O15" s="60">
        <f t="shared" si="0"/>
        <v>0</v>
      </c>
    </row>
    <row r="16" spans="1:15" x14ac:dyDescent="0.15">
      <c r="A16" s="145"/>
      <c r="B16" s="153" t="s">
        <v>6</v>
      </c>
      <c r="C16" s="154"/>
      <c r="D16" s="154"/>
      <c r="E16" s="154"/>
      <c r="F16" s="154"/>
      <c r="G16" s="154"/>
      <c r="H16" s="154"/>
      <c r="I16" s="154"/>
      <c r="J16" s="154"/>
      <c r="K16" s="154"/>
      <c r="L16" s="154"/>
      <c r="M16" s="154"/>
      <c r="N16" s="154"/>
      <c r="O16" s="60">
        <f t="shared" si="0"/>
        <v>0</v>
      </c>
    </row>
    <row r="17" spans="1:15" x14ac:dyDescent="0.15">
      <c r="A17" s="145"/>
      <c r="B17" s="153" t="s">
        <v>152</v>
      </c>
      <c r="C17" s="154"/>
      <c r="D17" s="154"/>
      <c r="E17" s="154"/>
      <c r="F17" s="154"/>
      <c r="G17" s="154"/>
      <c r="H17" s="154"/>
      <c r="I17" s="154"/>
      <c r="J17" s="154"/>
      <c r="K17" s="154"/>
      <c r="L17" s="154"/>
      <c r="M17" s="154"/>
      <c r="N17" s="154"/>
      <c r="O17" s="60">
        <f t="shared" si="0"/>
        <v>0</v>
      </c>
    </row>
    <row r="18" spans="1:15" x14ac:dyDescent="0.15">
      <c r="A18" s="145"/>
      <c r="B18" s="153" t="s">
        <v>153</v>
      </c>
      <c r="C18" s="154"/>
      <c r="D18" s="154"/>
      <c r="E18" s="154"/>
      <c r="F18" s="154"/>
      <c r="G18" s="154"/>
      <c r="H18" s="154"/>
      <c r="I18" s="154"/>
      <c r="J18" s="154"/>
      <c r="K18" s="154"/>
      <c r="L18" s="154"/>
      <c r="M18" s="154"/>
      <c r="N18" s="154"/>
      <c r="O18" s="60">
        <f t="shared" si="0"/>
        <v>0</v>
      </c>
    </row>
    <row r="19" spans="1:15" x14ac:dyDescent="0.15">
      <c r="A19" s="145"/>
      <c r="B19" s="153" t="s">
        <v>154</v>
      </c>
      <c r="C19" s="154"/>
      <c r="D19" s="154"/>
      <c r="E19" s="154"/>
      <c r="F19" s="154"/>
      <c r="G19" s="154"/>
      <c r="H19" s="154"/>
      <c r="I19" s="154"/>
      <c r="J19" s="154"/>
      <c r="K19" s="154"/>
      <c r="L19" s="154"/>
      <c r="M19" s="154"/>
      <c r="N19" s="154"/>
      <c r="O19" s="60">
        <f t="shared" si="0"/>
        <v>0</v>
      </c>
    </row>
    <row r="20" spans="1:15" x14ac:dyDescent="0.15">
      <c r="A20" s="145"/>
      <c r="B20" s="153" t="s">
        <v>155</v>
      </c>
      <c r="C20" s="154"/>
      <c r="D20" s="154"/>
      <c r="E20" s="154"/>
      <c r="F20" s="154"/>
      <c r="G20" s="154"/>
      <c r="H20" s="154"/>
      <c r="I20" s="154"/>
      <c r="J20" s="154"/>
      <c r="K20" s="154"/>
      <c r="L20" s="154"/>
      <c r="M20" s="154"/>
      <c r="N20" s="154">
        <v>1000</v>
      </c>
      <c r="O20" s="60">
        <f t="shared" si="0"/>
        <v>1000</v>
      </c>
    </row>
    <row r="21" spans="1:15" x14ac:dyDescent="0.15">
      <c r="A21" s="145"/>
      <c r="B21" s="153" t="s">
        <v>5</v>
      </c>
      <c r="C21" s="154"/>
      <c r="D21" s="154"/>
      <c r="E21" s="154"/>
      <c r="F21" s="154"/>
      <c r="G21" s="154"/>
      <c r="H21" s="154"/>
      <c r="I21" s="154"/>
      <c r="J21" s="154"/>
      <c r="K21" s="154"/>
      <c r="L21" s="154"/>
      <c r="M21" s="154"/>
      <c r="N21" s="154"/>
      <c r="O21" s="60">
        <f t="shared" si="0"/>
        <v>0</v>
      </c>
    </row>
    <row r="22" spans="1:15" x14ac:dyDescent="0.15">
      <c r="A22" s="145"/>
      <c r="B22" s="153" t="s">
        <v>156</v>
      </c>
      <c r="C22" s="154">
        <v>50</v>
      </c>
      <c r="D22" s="154">
        <v>50</v>
      </c>
      <c r="E22" s="154">
        <v>50</v>
      </c>
      <c r="F22" s="154">
        <v>50</v>
      </c>
      <c r="G22" s="154">
        <v>50</v>
      </c>
      <c r="H22" s="154">
        <v>50</v>
      </c>
      <c r="I22" s="154">
        <v>50</v>
      </c>
      <c r="J22" s="154">
        <v>50</v>
      </c>
      <c r="K22" s="154">
        <v>50</v>
      </c>
      <c r="L22" s="154">
        <v>50</v>
      </c>
      <c r="M22" s="154">
        <v>50</v>
      </c>
      <c r="N22" s="154">
        <v>50</v>
      </c>
      <c r="O22" s="60">
        <f t="shared" si="0"/>
        <v>600</v>
      </c>
    </row>
    <row r="23" spans="1:15" x14ac:dyDescent="0.15">
      <c r="A23" s="145"/>
      <c r="B23" s="153" t="s">
        <v>15</v>
      </c>
      <c r="C23" s="154"/>
      <c r="D23" s="154"/>
      <c r="E23" s="154"/>
      <c r="F23" s="154"/>
      <c r="G23" s="154"/>
      <c r="H23" s="154"/>
      <c r="I23" s="154"/>
      <c r="J23" s="154"/>
      <c r="K23" s="154"/>
      <c r="L23" s="154"/>
      <c r="M23" s="154"/>
      <c r="N23" s="154"/>
      <c r="O23" s="60">
        <f t="shared" si="0"/>
        <v>0</v>
      </c>
    </row>
    <row r="24" spans="1:15" x14ac:dyDescent="0.15">
      <c r="A24" s="145"/>
      <c r="B24" s="153" t="s">
        <v>221</v>
      </c>
      <c r="C24" s="154"/>
      <c r="D24" s="154"/>
      <c r="E24" s="154"/>
      <c r="F24" s="154"/>
      <c r="G24" s="154"/>
      <c r="H24" s="154"/>
      <c r="I24" s="154"/>
      <c r="J24" s="154"/>
      <c r="K24" s="154"/>
      <c r="L24" s="154"/>
      <c r="M24" s="154"/>
      <c r="N24" s="154"/>
      <c r="O24" s="60">
        <f t="shared" si="0"/>
        <v>0</v>
      </c>
    </row>
    <row r="25" spans="1:15" x14ac:dyDescent="0.15">
      <c r="A25" s="145"/>
      <c r="B25" s="26" t="s">
        <v>17</v>
      </c>
      <c r="C25" s="60">
        <f t="shared" ref="C25:N25" si="1">SUM(C10:C24)</f>
        <v>150</v>
      </c>
      <c r="D25" s="60">
        <f t="shared" si="1"/>
        <v>150</v>
      </c>
      <c r="E25" s="60">
        <f t="shared" si="1"/>
        <v>150</v>
      </c>
      <c r="F25" s="60">
        <f t="shared" si="1"/>
        <v>250</v>
      </c>
      <c r="G25" s="60">
        <f t="shared" si="1"/>
        <v>250</v>
      </c>
      <c r="H25" s="60">
        <f t="shared" si="1"/>
        <v>250</v>
      </c>
      <c r="I25" s="60">
        <f t="shared" si="1"/>
        <v>250</v>
      </c>
      <c r="J25" s="60">
        <f t="shared" si="1"/>
        <v>250</v>
      </c>
      <c r="K25" s="60">
        <f t="shared" si="1"/>
        <v>250</v>
      </c>
      <c r="L25" s="60">
        <f t="shared" si="1"/>
        <v>250</v>
      </c>
      <c r="M25" s="60">
        <f t="shared" si="1"/>
        <v>250</v>
      </c>
      <c r="N25" s="60">
        <f t="shared" si="1"/>
        <v>1250</v>
      </c>
      <c r="O25" s="60">
        <f t="shared" si="0"/>
        <v>3700</v>
      </c>
    </row>
    <row r="26" spans="1:15" x14ac:dyDescent="0.15">
      <c r="A26" s="145"/>
      <c r="B26" s="26"/>
      <c r="C26" s="36"/>
      <c r="D26" s="36"/>
      <c r="E26" s="36"/>
      <c r="F26" s="36"/>
      <c r="G26" s="36"/>
      <c r="H26" s="36"/>
      <c r="I26" s="36"/>
      <c r="J26" s="36"/>
      <c r="K26" s="36"/>
      <c r="L26" s="36"/>
      <c r="M26" s="36"/>
      <c r="N26" s="36"/>
      <c r="O26" s="36"/>
    </row>
    <row r="27" spans="1:15" x14ac:dyDescent="0.15">
      <c r="A27" s="145"/>
      <c r="B27" s="155" t="s">
        <v>142</v>
      </c>
      <c r="C27" s="51"/>
      <c r="D27" s="51"/>
      <c r="E27" s="51"/>
      <c r="F27" s="51"/>
      <c r="G27" s="51"/>
      <c r="H27" s="51"/>
      <c r="I27" s="51"/>
      <c r="J27" s="51"/>
      <c r="K27" s="51"/>
      <c r="L27" s="51"/>
      <c r="M27" s="51"/>
      <c r="N27" s="51"/>
      <c r="O27" s="7"/>
    </row>
    <row r="28" spans="1:15" x14ac:dyDescent="0.15">
      <c r="B28" s="156" t="s">
        <v>149</v>
      </c>
      <c r="C28" s="162">
        <f>'Amortization&amp;Depreciation'!C119</f>
        <v>2750</v>
      </c>
      <c r="D28" s="162">
        <f>'Amortization&amp;Depreciation'!D119</f>
        <v>2750</v>
      </c>
      <c r="E28" s="162">
        <f>'Amortization&amp;Depreciation'!E119</f>
        <v>2750</v>
      </c>
      <c r="F28" s="162">
        <f>'Amortization&amp;Depreciation'!F119</f>
        <v>2750</v>
      </c>
      <c r="G28" s="162">
        <f>'Amortization&amp;Depreciation'!G119</f>
        <v>2750</v>
      </c>
      <c r="H28" s="162">
        <f>'Amortization&amp;Depreciation'!H119</f>
        <v>2750</v>
      </c>
      <c r="I28" s="162">
        <f>'Amortization&amp;Depreciation'!I119</f>
        <v>2750</v>
      </c>
      <c r="J28" s="162">
        <f>'Amortization&amp;Depreciation'!J119</f>
        <v>2750</v>
      </c>
      <c r="K28" s="162">
        <f>'Amortization&amp;Depreciation'!K119</f>
        <v>2750</v>
      </c>
      <c r="L28" s="162">
        <f>'Amortization&amp;Depreciation'!L119</f>
        <v>2750</v>
      </c>
      <c r="M28" s="162">
        <f>'Amortization&amp;Depreciation'!M119</f>
        <v>2750</v>
      </c>
      <c r="N28" s="162">
        <f>'Amortization&amp;Depreciation'!N119</f>
        <v>2750</v>
      </c>
      <c r="O28" s="60">
        <f>SUM(C28:N28)</f>
        <v>33000</v>
      </c>
    </row>
    <row r="29" spans="1:15" x14ac:dyDescent="0.15">
      <c r="B29" s="156" t="s">
        <v>58</v>
      </c>
      <c r="C29" s="51"/>
      <c r="D29" s="51"/>
      <c r="E29" s="51"/>
      <c r="F29" s="51"/>
      <c r="G29" s="51"/>
      <c r="H29" s="51"/>
      <c r="I29" s="51"/>
      <c r="J29" s="51"/>
      <c r="K29" s="51"/>
      <c r="L29" s="51"/>
      <c r="M29" s="51"/>
      <c r="N29" s="51"/>
      <c r="O29" s="7"/>
    </row>
    <row r="30" spans="1:15" x14ac:dyDescent="0.15">
      <c r="B30" s="157" t="str">
        <f>'1-StartingPoint'!B37</f>
        <v>Commercial Loan</v>
      </c>
      <c r="C30" s="162">
        <f>'Amortization&amp;Depreciation'!C15</f>
        <v>988.74999999999989</v>
      </c>
      <c r="D30" s="162">
        <f>'Amortization&amp;Depreciation'!D15</f>
        <v>980.73057192420436</v>
      </c>
      <c r="E30" s="162">
        <f>'Amortization&amp;Depreciation'!E15</f>
        <v>972.64097385274533</v>
      </c>
      <c r="F30" s="162">
        <f>'Amortization&amp;Depreciation'!F15</f>
        <v>964.48059179816175</v>
      </c>
      <c r="G30" s="162">
        <f>'Amortization&amp;Depreciation'!G15</f>
        <v>956.24880640059996</v>
      </c>
      <c r="H30" s="162">
        <f>'Amortization&amp;Depreciation'!H15</f>
        <v>947.94499288080965</v>
      </c>
      <c r="I30" s="162">
        <f>'Amortization&amp;Depreciation'!I15</f>
        <v>939.56852099272123</v>
      </c>
      <c r="J30" s="162">
        <f>'Amortization&amp;Depreciation'!J15</f>
        <v>931.11875497561198</v>
      </c>
      <c r="K30" s="162">
        <f>'Amortization&amp;Depreciation'!K15</f>
        <v>922.59505350585277</v>
      </c>
      <c r="L30" s="162">
        <f>'Amortization&amp;Depreciation'!L15</f>
        <v>913.99676964823357</v>
      </c>
      <c r="M30" s="162">
        <f>'Amortization&amp;Depreciation'!M15</f>
        <v>905.32325080685985</v>
      </c>
      <c r="N30" s="162">
        <f>'Amortization&amp;Depreciation'!N15</f>
        <v>896.57383867562476</v>
      </c>
      <c r="O30" s="60">
        <f t="shared" ref="O30:O38" si="2">SUM(C30:N30)</f>
        <v>11319.972125461427</v>
      </c>
    </row>
    <row r="31" spans="1:15" x14ac:dyDescent="0.15">
      <c r="B31" s="157" t="str">
        <f>'1-StartingPoint'!B38</f>
        <v>Commercial Mortgage</v>
      </c>
      <c r="C31" s="162">
        <f>'Amortization&amp;Depreciation'!C35</f>
        <v>0</v>
      </c>
      <c r="D31" s="162">
        <f>'Amortization&amp;Depreciation'!D35</f>
        <v>0</v>
      </c>
      <c r="E31" s="162">
        <f>'Amortization&amp;Depreciation'!E35</f>
        <v>0</v>
      </c>
      <c r="F31" s="162">
        <f>'Amortization&amp;Depreciation'!F35</f>
        <v>0</v>
      </c>
      <c r="G31" s="162">
        <f>'Amortization&amp;Depreciation'!G35</f>
        <v>0</v>
      </c>
      <c r="H31" s="162">
        <f>'Amortization&amp;Depreciation'!H35</f>
        <v>0</v>
      </c>
      <c r="I31" s="162">
        <f>'Amortization&amp;Depreciation'!I35</f>
        <v>0</v>
      </c>
      <c r="J31" s="162">
        <f>'Amortization&amp;Depreciation'!J35</f>
        <v>0</v>
      </c>
      <c r="K31" s="162">
        <f>'Amortization&amp;Depreciation'!K35</f>
        <v>0</v>
      </c>
      <c r="L31" s="162">
        <f>'Amortization&amp;Depreciation'!L35</f>
        <v>0</v>
      </c>
      <c r="M31" s="162">
        <f>'Amortization&amp;Depreciation'!M35</f>
        <v>0</v>
      </c>
      <c r="N31" s="162">
        <f>'Amortization&amp;Depreciation'!N35</f>
        <v>0</v>
      </c>
      <c r="O31" s="60">
        <f t="shared" si="2"/>
        <v>0</v>
      </c>
    </row>
    <row r="32" spans="1:15" x14ac:dyDescent="0.15">
      <c r="B32" s="157" t="str">
        <f>'1-StartingPoint'!B39</f>
        <v>Credit Card Debt</v>
      </c>
      <c r="C32" s="162">
        <f>'Amortization&amp;Depreciation'!C55</f>
        <v>0</v>
      </c>
      <c r="D32" s="162">
        <f>'Amortization&amp;Depreciation'!D55</f>
        <v>0</v>
      </c>
      <c r="E32" s="162">
        <f>'Amortization&amp;Depreciation'!E55</f>
        <v>0</v>
      </c>
      <c r="F32" s="162">
        <f>'Amortization&amp;Depreciation'!F55</f>
        <v>0</v>
      </c>
      <c r="G32" s="162">
        <f>'Amortization&amp;Depreciation'!G55</f>
        <v>0</v>
      </c>
      <c r="H32" s="162">
        <f>'Amortization&amp;Depreciation'!H55</f>
        <v>0</v>
      </c>
      <c r="I32" s="162">
        <f>'Amortization&amp;Depreciation'!I55</f>
        <v>0</v>
      </c>
      <c r="J32" s="162">
        <f>'Amortization&amp;Depreciation'!J55</f>
        <v>0</v>
      </c>
      <c r="K32" s="162">
        <f>'Amortization&amp;Depreciation'!K55</f>
        <v>0</v>
      </c>
      <c r="L32" s="162">
        <f>'Amortization&amp;Depreciation'!L55</f>
        <v>0</v>
      </c>
      <c r="M32" s="162">
        <f>'Amortization&amp;Depreciation'!M55</f>
        <v>0</v>
      </c>
      <c r="N32" s="162">
        <f>'Amortization&amp;Depreciation'!N55</f>
        <v>0</v>
      </c>
      <c r="O32" s="60">
        <f t="shared" si="2"/>
        <v>0</v>
      </c>
    </row>
    <row r="33" spans="2:18" x14ac:dyDescent="0.15">
      <c r="B33" s="157" t="str">
        <f>'1-StartingPoint'!B40</f>
        <v>Vehicle Loans</v>
      </c>
      <c r="C33" s="162">
        <f>'Amortization&amp;Depreciation'!C75</f>
        <v>490</v>
      </c>
      <c r="D33" s="162">
        <f>'Amortization&amp;Depreciation'!D75</f>
        <v>481.1246734487363</v>
      </c>
      <c r="E33" s="162">
        <f>'Amortization&amp;Depreciation'!E75</f>
        <v>472.19757415925704</v>
      </c>
      <c r="F33" s="162">
        <f>'Amortization&amp;Depreciation'!F75</f>
        <v>463.21840012392227</v>
      </c>
      <c r="G33" s="162">
        <f>'Amortization&amp;Depreciation'!G75</f>
        <v>454.18684757338144</v>
      </c>
      <c r="H33" s="162">
        <f>'Amortization&amp;Depreciation'!H75</f>
        <v>445.1026109662958</v>
      </c>
      <c r="I33" s="162">
        <f>'Amortization&amp;Depreciation'!I75</f>
        <v>435.96538297900213</v>
      </c>
      <c r="J33" s="162">
        <f>'Amortization&amp;Depreciation'!J75</f>
        <v>426.77485449511596</v>
      </c>
      <c r="K33" s="162">
        <f>'Amortization&amp;Depreciation'!K75</f>
        <v>417.53071459507379</v>
      </c>
      <c r="L33" s="162">
        <f>'Amortization&amp;Depreciation'!L75</f>
        <v>408.23265054561466</v>
      </c>
      <c r="M33" s="162">
        <f>'Amortization&amp;Depreciation'!M75</f>
        <v>398.88034778920041</v>
      </c>
      <c r="N33" s="162">
        <f>'Amortization&amp;Depreciation'!N75</f>
        <v>389.47348993337374</v>
      </c>
      <c r="O33" s="60">
        <f t="shared" si="2"/>
        <v>5282.6875466089732</v>
      </c>
    </row>
    <row r="34" spans="2:18" x14ac:dyDescent="0.15">
      <c r="B34" s="157" t="str">
        <f>'1-StartingPoint'!B41</f>
        <v>Other Bank Debt</v>
      </c>
      <c r="C34" s="162">
        <f>'Amortization&amp;Depreciation'!C95</f>
        <v>0</v>
      </c>
      <c r="D34" s="162">
        <f>'Amortization&amp;Depreciation'!D95</f>
        <v>0</v>
      </c>
      <c r="E34" s="162">
        <f>'Amortization&amp;Depreciation'!E95</f>
        <v>0</v>
      </c>
      <c r="F34" s="162">
        <f>'Amortization&amp;Depreciation'!F95</f>
        <v>0</v>
      </c>
      <c r="G34" s="162">
        <f>'Amortization&amp;Depreciation'!G95</f>
        <v>0</v>
      </c>
      <c r="H34" s="162">
        <f>'Amortization&amp;Depreciation'!H95</f>
        <v>0</v>
      </c>
      <c r="I34" s="162">
        <f>'Amortization&amp;Depreciation'!I95</f>
        <v>0</v>
      </c>
      <c r="J34" s="162">
        <f>'Amortization&amp;Depreciation'!J95</f>
        <v>0</v>
      </c>
      <c r="K34" s="162">
        <f>'Amortization&amp;Depreciation'!K95</f>
        <v>0</v>
      </c>
      <c r="L34" s="162">
        <f>'Amortization&amp;Depreciation'!L95</f>
        <v>0</v>
      </c>
      <c r="M34" s="162">
        <f>'Amortization&amp;Depreciation'!M95</f>
        <v>0</v>
      </c>
      <c r="N34" s="162">
        <f>'Amortization&amp;Depreciation'!N95</f>
        <v>0</v>
      </c>
      <c r="O34" s="60">
        <f t="shared" si="2"/>
        <v>0</v>
      </c>
    </row>
    <row r="35" spans="2:18" x14ac:dyDescent="0.15">
      <c r="B35" s="157" t="s">
        <v>258</v>
      </c>
      <c r="C35" s="162">
        <f>'6a-CashFlowYear1'!C26</f>
        <v>0</v>
      </c>
      <c r="D35" s="162">
        <f>'6a-CashFlowYear1'!D26</f>
        <v>0</v>
      </c>
      <c r="E35" s="162">
        <f>'6a-CashFlowYear1'!E26</f>
        <v>0</v>
      </c>
      <c r="F35" s="162">
        <f>'6a-CashFlowYear1'!F26</f>
        <v>0</v>
      </c>
      <c r="G35" s="162">
        <f>'6a-CashFlowYear1'!G26</f>
        <v>0</v>
      </c>
      <c r="H35" s="162">
        <f>'6a-CashFlowYear1'!H26</f>
        <v>0</v>
      </c>
      <c r="I35" s="162">
        <f>'6a-CashFlowYear1'!I26</f>
        <v>0</v>
      </c>
      <c r="J35" s="162">
        <f>'6a-CashFlowYear1'!J26</f>
        <v>0</v>
      </c>
      <c r="K35" s="162">
        <f>'6a-CashFlowYear1'!K26</f>
        <v>0</v>
      </c>
      <c r="L35" s="162">
        <f>'6a-CashFlowYear1'!L26</f>
        <v>0</v>
      </c>
      <c r="M35" s="162">
        <f>'6a-CashFlowYear1'!M26</f>
        <v>0</v>
      </c>
      <c r="N35" s="162">
        <f>'6a-CashFlowYear1'!N26</f>
        <v>0</v>
      </c>
      <c r="O35" s="60">
        <f t="shared" si="2"/>
        <v>0</v>
      </c>
    </row>
    <row r="36" spans="2:18" x14ac:dyDescent="0.15">
      <c r="B36" s="156" t="s">
        <v>282</v>
      </c>
      <c r="C36" s="162">
        <f>+'7a-IncomeStatementYear1'!C56</f>
        <v>0</v>
      </c>
      <c r="D36" s="162">
        <f>+'7a-IncomeStatementYear1'!D56</f>
        <v>0</v>
      </c>
      <c r="E36" s="162">
        <f>+'7a-IncomeStatementYear1'!E56</f>
        <v>0</v>
      </c>
      <c r="F36" s="162">
        <f>+'7a-IncomeStatementYear1'!F56</f>
        <v>0</v>
      </c>
      <c r="G36" s="162">
        <f>+'7a-IncomeStatementYear1'!G56</f>
        <v>0</v>
      </c>
      <c r="H36" s="162">
        <f>+'7a-IncomeStatementYear1'!H56</f>
        <v>0</v>
      </c>
      <c r="I36" s="162">
        <f>+'7a-IncomeStatementYear1'!I56</f>
        <v>0</v>
      </c>
      <c r="J36" s="162">
        <f>+'7a-IncomeStatementYear1'!J56</f>
        <v>0</v>
      </c>
      <c r="K36" s="162">
        <f>+'7a-IncomeStatementYear1'!K56</f>
        <v>0</v>
      </c>
      <c r="L36" s="162">
        <f>+'7a-IncomeStatementYear1'!L56</f>
        <v>0</v>
      </c>
      <c r="M36" s="162">
        <f>+'7a-IncomeStatementYear1'!M56</f>
        <v>0</v>
      </c>
      <c r="N36" s="162">
        <f>+'7a-IncomeStatementYear1'!N56</f>
        <v>0</v>
      </c>
      <c r="O36" s="60">
        <f t="shared" si="2"/>
        <v>0</v>
      </c>
    </row>
    <row r="37" spans="2:18" x14ac:dyDescent="0.15">
      <c r="B37" s="155" t="s">
        <v>158</v>
      </c>
      <c r="C37" s="300">
        <f>SUM(C28:C36)</f>
        <v>4228.75</v>
      </c>
      <c r="D37" s="300">
        <f>SUM(D28:D36)</f>
        <v>4211.8552453729408</v>
      </c>
      <c r="E37" s="300">
        <f t="shared" ref="E37:N37" si="3">SUM(E28:E36)</f>
        <v>4194.8385480120023</v>
      </c>
      <c r="F37" s="300">
        <f t="shared" si="3"/>
        <v>4177.6989919220841</v>
      </c>
      <c r="G37" s="300">
        <f t="shared" si="3"/>
        <v>4160.435653973982</v>
      </c>
      <c r="H37" s="300">
        <f t="shared" si="3"/>
        <v>4143.0476038471061</v>
      </c>
      <c r="I37" s="300">
        <f t="shared" si="3"/>
        <v>4125.5339039717237</v>
      </c>
      <c r="J37" s="300">
        <f t="shared" si="3"/>
        <v>4107.8936094707278</v>
      </c>
      <c r="K37" s="300">
        <f t="shared" si="3"/>
        <v>4090.1257681009265</v>
      </c>
      <c r="L37" s="300">
        <f t="shared" si="3"/>
        <v>4072.2294201938485</v>
      </c>
      <c r="M37" s="300">
        <f t="shared" si="3"/>
        <v>4054.2035985960601</v>
      </c>
      <c r="N37" s="300">
        <f t="shared" si="3"/>
        <v>4036.0473286089987</v>
      </c>
      <c r="O37" s="60">
        <f t="shared" si="2"/>
        <v>49602.659672070404</v>
      </c>
    </row>
    <row r="38" spans="2:18" x14ac:dyDescent="0.15">
      <c r="B38" s="7" t="s">
        <v>159</v>
      </c>
      <c r="C38" s="36">
        <f>C25+C37</f>
        <v>4378.75</v>
      </c>
      <c r="D38" s="36">
        <f t="shared" ref="D38:N38" si="4">D25+D37</f>
        <v>4361.8552453729408</v>
      </c>
      <c r="E38" s="36">
        <f t="shared" si="4"/>
        <v>4344.8385480120023</v>
      </c>
      <c r="F38" s="36">
        <f t="shared" si="4"/>
        <v>4427.6989919220841</v>
      </c>
      <c r="G38" s="36">
        <f t="shared" si="4"/>
        <v>4410.435653973982</v>
      </c>
      <c r="H38" s="36">
        <f t="shared" si="4"/>
        <v>4393.0476038471061</v>
      </c>
      <c r="I38" s="36">
        <f t="shared" si="4"/>
        <v>4375.5339039717237</v>
      </c>
      <c r="J38" s="36">
        <f t="shared" si="4"/>
        <v>4357.8936094707278</v>
      </c>
      <c r="K38" s="36">
        <f t="shared" si="4"/>
        <v>4340.1257681009265</v>
      </c>
      <c r="L38" s="36">
        <f t="shared" si="4"/>
        <v>4322.2294201938485</v>
      </c>
      <c r="M38" s="36">
        <f t="shared" si="4"/>
        <v>4304.2035985960601</v>
      </c>
      <c r="N38" s="36">
        <f t="shared" si="4"/>
        <v>5286.0473286089982</v>
      </c>
      <c r="O38" s="36">
        <f t="shared" si="2"/>
        <v>53302.659672070404</v>
      </c>
      <c r="R38" s="158"/>
    </row>
  </sheetData>
  <sheetProtection password="CC3D" sheet="1" objects="1" scenarios="1" formatColumns="0" formatRows="0"/>
  <mergeCells count="2">
    <mergeCell ref="D7:O7"/>
    <mergeCell ref="C4:D4"/>
  </mergeCells>
  <phoneticPr fontId="3" type="noConversion"/>
  <conditionalFormatting sqref="C10:N24">
    <cfRule type="containsBlanks" dxfId="46" priority="2">
      <formula>LEN(TRIM(C10))=0</formula>
    </cfRule>
  </conditionalFormatting>
  <pageMargins left="0.25" right="0.25" top="0.75" bottom="0.75" header="0.3" footer="0.3"/>
  <pageSetup scale="74" orientation="landscape" r:id="rId1"/>
  <headerFooter scaleWithDoc="0">
    <oddHeader>&amp;C&amp;"Gill Sans MT,Regular"&amp;12Operating Expenses Year 1</oddHeader>
    <oddFooter>&amp;L&amp;"Gill Sans MT,Regular"&amp;12&amp;F&amp;C&amp;"Gill Sans MT,Regular"&amp;12&amp;A&amp;R&amp;"Gill Sans MT,Regular"&amp;12&amp;D &amp;T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tabColor rgb="FFFFC95B"/>
    <pageSetUpPr autoPageBreaks="0"/>
  </sheetPr>
  <dimension ref="B2:M36"/>
  <sheetViews>
    <sheetView zoomScale="219" zoomScaleNormal="100" zoomScalePageLayoutView="70" workbookViewId="0">
      <selection activeCell="D8" sqref="D8"/>
    </sheetView>
  </sheetViews>
  <sheetFormatPr baseColWidth="10" defaultColWidth="8.83203125" defaultRowHeight="12" x14ac:dyDescent="0.15"/>
  <cols>
    <col min="1" max="1" width="6.83203125" style="46" customWidth="1"/>
    <col min="2" max="2" width="46.6640625" style="46" bestFit="1" customWidth="1"/>
    <col min="3" max="3" width="15.6640625" style="46" customWidth="1"/>
    <col min="4" max="4" width="19" style="46" bestFit="1" customWidth="1"/>
    <col min="5" max="5" width="15.6640625" style="46" customWidth="1"/>
    <col min="6" max="6" width="19.33203125" style="46" bestFit="1" customWidth="1"/>
    <col min="7" max="7" width="15.6640625" style="46" customWidth="1"/>
    <col min="8" max="8" width="5.33203125" style="46" bestFit="1" customWidth="1"/>
    <col min="9" max="16384" width="8.83203125" style="46"/>
  </cols>
  <sheetData>
    <row r="2" spans="2:13" ht="17.25" customHeight="1" x14ac:dyDescent="0.15">
      <c r="B2" s="504" t="s">
        <v>328</v>
      </c>
      <c r="C2" s="504"/>
      <c r="F2" s="148"/>
      <c r="G2" s="148"/>
    </row>
    <row r="3" spans="2:13" ht="18" customHeight="1" x14ac:dyDescent="0.15">
      <c r="B3" s="159"/>
      <c r="C3" s="159"/>
      <c r="F3" s="148"/>
      <c r="G3" s="148"/>
    </row>
    <row r="4" spans="2:13" ht="18" customHeight="1" x14ac:dyDescent="0.15">
      <c r="B4" s="160" t="s">
        <v>130</v>
      </c>
      <c r="C4" s="160" t="s">
        <v>131</v>
      </c>
      <c r="D4" s="59"/>
      <c r="E4" s="59"/>
      <c r="F4" s="59"/>
      <c r="G4" s="148"/>
    </row>
    <row r="5" spans="2:13" x14ac:dyDescent="0.15">
      <c r="B5" s="59" t="str">
        <f>IF(ISBLANK(Directions!C10), "Owner", Directions!C10)</f>
        <v>Dave Johnson</v>
      </c>
      <c r="C5" s="512" t="str">
        <f>IF(ISBLANK(Directions!D10), "Company 1", Directions!D10)</f>
        <v>Dave's Famous Pretzels</v>
      </c>
      <c r="D5" s="512"/>
      <c r="E5" s="512"/>
      <c r="F5" s="512"/>
      <c r="G5" s="161"/>
      <c r="I5" s="319"/>
      <c r="J5" s="319"/>
      <c r="K5" s="319"/>
      <c r="L5" s="319"/>
      <c r="M5" s="319"/>
    </row>
    <row r="6" spans="2:13" x14ac:dyDescent="0.15">
      <c r="I6" s="319"/>
      <c r="J6" s="319"/>
      <c r="K6" s="319"/>
      <c r="L6" s="319"/>
      <c r="M6" s="319"/>
    </row>
    <row r="7" spans="2:13" ht="17.25" customHeight="1" thickBot="1" x14ac:dyDescent="0.2">
      <c r="B7" s="344" t="s">
        <v>83</v>
      </c>
      <c r="C7" s="345">
        <f>IF(Directions!F10&gt;0,Directions!F10,"First Year")</f>
        <v>2026</v>
      </c>
      <c r="D7" s="344" t="s">
        <v>119</v>
      </c>
      <c r="E7" s="345">
        <f>IF(Directions!F10&gt;0,Directions!F10+1,"Second Year")</f>
        <v>2027</v>
      </c>
      <c r="F7" s="344" t="s">
        <v>120</v>
      </c>
      <c r="G7" s="345">
        <f>IF(Directions!F10&gt;0,Directions!F10+2,"Third Year")</f>
        <v>2028</v>
      </c>
      <c r="I7" s="319"/>
      <c r="J7" s="319"/>
      <c r="K7" s="319"/>
      <c r="L7" s="319"/>
      <c r="M7" s="319"/>
    </row>
    <row r="8" spans="2:13" ht="13" thickTop="1" x14ac:dyDescent="0.15">
      <c r="B8" s="466" t="str">
        <f>'5a-OpExYear1'!B10</f>
        <v>Advertising</v>
      </c>
      <c r="C8" s="165">
        <f>'5a-OpExYear1'!O10</f>
        <v>2100</v>
      </c>
      <c r="D8" s="330">
        <v>0.03</v>
      </c>
      <c r="E8" s="165">
        <f t="shared" ref="E8:E22" si="0">C8*(1+D8)</f>
        <v>2163</v>
      </c>
      <c r="F8" s="330">
        <v>0.03</v>
      </c>
      <c r="G8" s="165">
        <f t="shared" ref="G8:G22" si="1">E8*(1+F8)</f>
        <v>2227.89</v>
      </c>
    </row>
    <row r="9" spans="2:13" x14ac:dyDescent="0.15">
      <c r="B9" s="466" t="str">
        <f>'5a-OpExYear1'!B11</f>
        <v>Car and Truck Expenses</v>
      </c>
      <c r="C9" s="83">
        <f>'5a-OpExYear1'!O11</f>
        <v>0</v>
      </c>
      <c r="D9" s="140">
        <v>0.03</v>
      </c>
      <c r="E9" s="83">
        <f t="shared" si="0"/>
        <v>0</v>
      </c>
      <c r="F9" s="140">
        <v>0.03</v>
      </c>
      <c r="G9" s="83">
        <f t="shared" si="1"/>
        <v>0</v>
      </c>
    </row>
    <row r="10" spans="2:13" x14ac:dyDescent="0.15">
      <c r="B10" s="466" t="str">
        <f>'5a-OpExYear1'!B12</f>
        <v>Commissions and Fees</v>
      </c>
      <c r="C10" s="83">
        <f>'5a-OpExYear1'!O12</f>
        <v>0</v>
      </c>
      <c r="D10" s="140">
        <v>0.05</v>
      </c>
      <c r="E10" s="83">
        <f t="shared" si="0"/>
        <v>0</v>
      </c>
      <c r="F10" s="140">
        <v>0.05</v>
      </c>
      <c r="G10" s="83">
        <f t="shared" si="1"/>
        <v>0</v>
      </c>
    </row>
    <row r="11" spans="2:13" x14ac:dyDescent="0.15">
      <c r="B11" s="466" t="str">
        <f>'5a-OpExYear1'!B13</f>
        <v>Contract Labor (Not included in payroll)</v>
      </c>
      <c r="C11" s="83">
        <f>'5a-OpExYear1'!O13</f>
        <v>0</v>
      </c>
      <c r="D11" s="140">
        <v>0.03</v>
      </c>
      <c r="E11" s="83">
        <f t="shared" si="0"/>
        <v>0</v>
      </c>
      <c r="F11" s="140">
        <v>0.03</v>
      </c>
      <c r="G11" s="83">
        <f t="shared" si="1"/>
        <v>0</v>
      </c>
    </row>
    <row r="12" spans="2:13" x14ac:dyDescent="0.15">
      <c r="B12" s="466" t="str">
        <f>'5a-OpExYear1'!B14</f>
        <v>Insurance (other than health)</v>
      </c>
      <c r="C12" s="83">
        <f>'5a-OpExYear1'!O14</f>
        <v>0</v>
      </c>
      <c r="D12" s="140">
        <v>0.03</v>
      </c>
      <c r="E12" s="83">
        <f t="shared" si="0"/>
        <v>0</v>
      </c>
      <c r="F12" s="140">
        <v>0.03</v>
      </c>
      <c r="G12" s="83">
        <f t="shared" si="1"/>
        <v>0</v>
      </c>
    </row>
    <row r="13" spans="2:13" x14ac:dyDescent="0.15">
      <c r="B13" s="466" t="str">
        <f>'5a-OpExYear1'!B15</f>
        <v>Legal and Professional Services</v>
      </c>
      <c r="C13" s="83">
        <f>'5a-OpExYear1'!O15</f>
        <v>0</v>
      </c>
      <c r="D13" s="140">
        <v>0.03</v>
      </c>
      <c r="E13" s="83">
        <f t="shared" si="0"/>
        <v>0</v>
      </c>
      <c r="F13" s="140">
        <v>0.03</v>
      </c>
      <c r="G13" s="83">
        <f t="shared" si="1"/>
        <v>0</v>
      </c>
    </row>
    <row r="14" spans="2:13" x14ac:dyDescent="0.15">
      <c r="B14" s="466" t="str">
        <f>'5a-OpExYear1'!B16</f>
        <v>Licenses</v>
      </c>
      <c r="C14" s="83">
        <f>'5a-OpExYear1'!O16</f>
        <v>0</v>
      </c>
      <c r="D14" s="140">
        <v>0.05</v>
      </c>
      <c r="E14" s="83">
        <f t="shared" si="0"/>
        <v>0</v>
      </c>
      <c r="F14" s="140">
        <v>0.05</v>
      </c>
      <c r="G14" s="83">
        <f t="shared" si="1"/>
        <v>0</v>
      </c>
    </row>
    <row r="15" spans="2:13" x14ac:dyDescent="0.15">
      <c r="B15" s="466" t="str">
        <f>'5a-OpExYear1'!B17</f>
        <v>Office Expense</v>
      </c>
      <c r="C15" s="83">
        <f>'5a-OpExYear1'!O17</f>
        <v>0</v>
      </c>
      <c r="D15" s="140">
        <v>0.03</v>
      </c>
      <c r="E15" s="83">
        <f t="shared" si="0"/>
        <v>0</v>
      </c>
      <c r="F15" s="140">
        <v>0.03</v>
      </c>
      <c r="G15" s="83">
        <f t="shared" si="1"/>
        <v>0</v>
      </c>
    </row>
    <row r="16" spans="2:13" x14ac:dyDescent="0.15">
      <c r="B16" s="466" t="str">
        <f>'5a-OpExYear1'!B18</f>
        <v>Rent or Lease -- Vehicles, Machinery, Equipment</v>
      </c>
      <c r="C16" s="83">
        <f>'5a-OpExYear1'!O18</f>
        <v>0</v>
      </c>
      <c r="D16" s="140">
        <v>0.03</v>
      </c>
      <c r="E16" s="83">
        <f t="shared" si="0"/>
        <v>0</v>
      </c>
      <c r="F16" s="140">
        <v>0.03</v>
      </c>
      <c r="G16" s="83">
        <f t="shared" si="1"/>
        <v>0</v>
      </c>
    </row>
    <row r="17" spans="2:7" x14ac:dyDescent="0.15">
      <c r="B17" s="466" t="str">
        <f>'5a-OpExYear1'!B19</f>
        <v>Rent or Lease -- Other Business Property</v>
      </c>
      <c r="C17" s="83">
        <f>'5a-OpExYear1'!O19</f>
        <v>0</v>
      </c>
      <c r="D17" s="140">
        <v>0.03</v>
      </c>
      <c r="E17" s="83">
        <f t="shared" si="0"/>
        <v>0</v>
      </c>
      <c r="F17" s="140">
        <v>0.03</v>
      </c>
      <c r="G17" s="83">
        <f t="shared" si="1"/>
        <v>0</v>
      </c>
    </row>
    <row r="18" spans="2:7" x14ac:dyDescent="0.15">
      <c r="B18" s="466" t="str">
        <f>'5a-OpExYear1'!B20</f>
        <v>Repairs and Maintenance</v>
      </c>
      <c r="C18" s="83">
        <f>'5a-OpExYear1'!O20</f>
        <v>1000</v>
      </c>
      <c r="D18" s="140">
        <v>0.05</v>
      </c>
      <c r="E18" s="83">
        <f t="shared" si="0"/>
        <v>1050</v>
      </c>
      <c r="F18" s="140">
        <v>0.05</v>
      </c>
      <c r="G18" s="83">
        <f t="shared" si="1"/>
        <v>1102.5</v>
      </c>
    </row>
    <row r="19" spans="2:7" x14ac:dyDescent="0.15">
      <c r="B19" s="466" t="str">
        <f>'5a-OpExYear1'!B21</f>
        <v>Supplies</v>
      </c>
      <c r="C19" s="83">
        <f>'5a-OpExYear1'!O21</f>
        <v>0</v>
      </c>
      <c r="D19" s="140">
        <v>0.03</v>
      </c>
      <c r="E19" s="83">
        <f t="shared" si="0"/>
        <v>0</v>
      </c>
      <c r="F19" s="140">
        <v>0.03</v>
      </c>
      <c r="G19" s="83">
        <f t="shared" si="1"/>
        <v>0</v>
      </c>
    </row>
    <row r="20" spans="2:7" x14ac:dyDescent="0.15">
      <c r="B20" s="466" t="str">
        <f>'5a-OpExYear1'!B22</f>
        <v>Travel, Meals and Entertainment</v>
      </c>
      <c r="C20" s="83">
        <f>'5a-OpExYear1'!O22</f>
        <v>600</v>
      </c>
      <c r="D20" s="140">
        <v>0.03</v>
      </c>
      <c r="E20" s="83">
        <f t="shared" si="0"/>
        <v>618</v>
      </c>
      <c r="F20" s="140">
        <v>0.03</v>
      </c>
      <c r="G20" s="83">
        <f t="shared" si="1"/>
        <v>636.54</v>
      </c>
    </row>
    <row r="21" spans="2:7" x14ac:dyDescent="0.15">
      <c r="B21" s="466" t="str">
        <f>'5a-OpExYear1'!B23</f>
        <v>Utilities</v>
      </c>
      <c r="C21" s="83">
        <f>'5a-OpExYear1'!O23</f>
        <v>0</v>
      </c>
      <c r="D21" s="140">
        <v>0.03</v>
      </c>
      <c r="E21" s="83">
        <f t="shared" si="0"/>
        <v>0</v>
      </c>
      <c r="F21" s="140">
        <v>0.03</v>
      </c>
      <c r="G21" s="83">
        <f t="shared" si="1"/>
        <v>0</v>
      </c>
    </row>
    <row r="22" spans="2:7" x14ac:dyDescent="0.15">
      <c r="B22" s="466" t="str">
        <f>'5a-OpExYear1'!B24</f>
        <v xml:space="preserve">Miscellaneous </v>
      </c>
      <c r="C22" s="83">
        <f>'5a-OpExYear1'!O24</f>
        <v>0</v>
      </c>
      <c r="D22" s="140">
        <v>0.03</v>
      </c>
      <c r="E22" s="83">
        <f t="shared" si="0"/>
        <v>0</v>
      </c>
      <c r="F22" s="140">
        <v>0.03</v>
      </c>
      <c r="G22" s="83">
        <f t="shared" si="1"/>
        <v>0</v>
      </c>
    </row>
    <row r="23" spans="2:7" x14ac:dyDescent="0.15">
      <c r="B23" s="301" t="s">
        <v>17</v>
      </c>
      <c r="C23" s="86">
        <f>SUM(C8:C22)</f>
        <v>3700</v>
      </c>
      <c r="D23" s="140"/>
      <c r="E23" s="86">
        <f>SUM(E8:E22)</f>
        <v>3831</v>
      </c>
      <c r="F23" s="140"/>
      <c r="G23" s="86">
        <f>SUM(G8:G22)</f>
        <v>3966.93</v>
      </c>
    </row>
    <row r="24" spans="2:7" x14ac:dyDescent="0.15">
      <c r="B24" s="153"/>
      <c r="C24" s="83"/>
      <c r="D24" s="85"/>
      <c r="E24" s="83"/>
      <c r="F24" s="85"/>
      <c r="G24" s="83"/>
    </row>
    <row r="25" spans="2:7" x14ac:dyDescent="0.15">
      <c r="B25" s="51" t="s">
        <v>142</v>
      </c>
      <c r="C25" s="83"/>
      <c r="D25" s="85"/>
      <c r="E25" s="83"/>
      <c r="F25" s="85"/>
      <c r="G25" s="83"/>
    </row>
    <row r="26" spans="2:7" x14ac:dyDescent="0.15">
      <c r="B26" s="156" t="s">
        <v>149</v>
      </c>
      <c r="C26" s="162">
        <f>'5a-OpExYear1'!O28</f>
        <v>33000</v>
      </c>
      <c r="D26" s="163"/>
      <c r="E26" s="83">
        <f>'Amortization&amp;Depreciation'!O123</f>
        <v>33000</v>
      </c>
      <c r="F26" s="163"/>
      <c r="G26" s="83">
        <f>'Amortization&amp;Depreciation'!O127</f>
        <v>33000</v>
      </c>
    </row>
    <row r="27" spans="2:7" x14ac:dyDescent="0.15">
      <c r="B27" s="156" t="s">
        <v>58</v>
      </c>
      <c r="C27" s="164"/>
      <c r="D27" s="163"/>
      <c r="E27" s="83"/>
      <c r="F27" s="163"/>
      <c r="G27" s="83"/>
    </row>
    <row r="28" spans="2:7" x14ac:dyDescent="0.15">
      <c r="B28" s="157" t="str">
        <f>'1-StartingPoint'!B37</f>
        <v>Commercial Loan</v>
      </c>
      <c r="C28" s="162">
        <f>'5a-OpExYear1'!O30</f>
        <v>11319.972125461427</v>
      </c>
      <c r="D28" s="163"/>
      <c r="E28" s="83">
        <f>IF('1-StartingPoint'!$F37&lt;36, 0, 'Amortization&amp;Depreciation'!O19)</f>
        <v>10047.882603353741</v>
      </c>
      <c r="F28" s="163"/>
      <c r="G28" s="83">
        <f>IF('1-StartingPoint'!$F37&lt;36, 0, 'Amortization&amp;Depreciation'!O23)</f>
        <v>8635.6044266261797</v>
      </c>
    </row>
    <row r="29" spans="2:7" x14ac:dyDescent="0.15">
      <c r="B29" s="157" t="str">
        <f>'1-StartingPoint'!B38</f>
        <v>Commercial Mortgage</v>
      </c>
      <c r="C29" s="162">
        <f>'5a-OpExYear1'!O31</f>
        <v>0</v>
      </c>
      <c r="D29" s="163"/>
      <c r="E29" s="83">
        <f>IF('1-StartingPoint'!$F38&lt;36, 0, 'Amortization&amp;Depreciation'!O39)</f>
        <v>0</v>
      </c>
      <c r="F29" s="163"/>
      <c r="G29" s="83">
        <f>IF('1-StartingPoint'!$F38&lt;36, 0, 'Amortization&amp;Depreciation'!O43)</f>
        <v>0</v>
      </c>
    </row>
    <row r="30" spans="2:7" x14ac:dyDescent="0.15">
      <c r="B30" s="157" t="str">
        <f>'1-StartingPoint'!B39</f>
        <v>Credit Card Debt</v>
      </c>
      <c r="C30" s="162">
        <f>'5a-OpExYear1'!O32</f>
        <v>0</v>
      </c>
      <c r="D30" s="163"/>
      <c r="E30" s="83">
        <f>IF('1-StartingPoint'!$F39&lt;36, 0, 'Amortization&amp;Depreciation'!O59)</f>
        <v>0</v>
      </c>
      <c r="F30" s="163"/>
      <c r="G30" s="83">
        <f>IF('1-StartingPoint'!$F39&lt;36, 0, 'Amortization&amp;Depreciation'!O63)</f>
        <v>0</v>
      </c>
    </row>
    <row r="31" spans="2:7" x14ac:dyDescent="0.15">
      <c r="B31" s="157" t="str">
        <f>'1-StartingPoint'!B40</f>
        <v>Vehicle Loans</v>
      </c>
      <c r="C31" s="162">
        <f>'5a-OpExYear1'!O33</f>
        <v>5282.6875466089732</v>
      </c>
      <c r="D31" s="163"/>
      <c r="E31" s="83">
        <f>IF('1-StartingPoint'!$F40&lt;36, 0, 'Amortization&amp;Depreciation'!O79)</f>
        <v>3919.6488859375568</v>
      </c>
      <c r="F31" s="163"/>
      <c r="G31" s="83">
        <f>IF('1-StartingPoint'!$F40&lt;36, 0, 'Amortization&amp;Depreciation'!O83)</f>
        <v>2458.0760502760268</v>
      </c>
    </row>
    <row r="32" spans="2:7" x14ac:dyDescent="0.15">
      <c r="B32" s="157" t="str">
        <f>'1-StartingPoint'!B41</f>
        <v>Other Bank Debt</v>
      </c>
      <c r="C32" s="162">
        <f>'5a-OpExYear1'!O34</f>
        <v>0</v>
      </c>
      <c r="D32" s="163"/>
      <c r="E32" s="83">
        <f>IF('1-StartingPoint'!$F41&lt;36, 0, 'Amortization&amp;Depreciation'!O99)</f>
        <v>0</v>
      </c>
      <c r="F32" s="163"/>
      <c r="G32" s="83">
        <f>IF('1-StartingPoint'!$F41&lt;36, 0, 'Amortization&amp;Depreciation'!O103)</f>
        <v>0</v>
      </c>
    </row>
    <row r="33" spans="2:7" x14ac:dyDescent="0.15">
      <c r="B33" s="157" t="s">
        <v>258</v>
      </c>
      <c r="C33" s="162">
        <f>+'6a-CashFlowYear1'!O26</f>
        <v>0</v>
      </c>
      <c r="D33" s="163"/>
      <c r="E33" s="165">
        <f>+'6b-CashFlowYrs1-3'!O25</f>
        <v>0</v>
      </c>
      <c r="F33" s="163"/>
      <c r="G33" s="305">
        <f>'6b-CashFlowYrs1-3'!AB25</f>
        <v>0</v>
      </c>
    </row>
    <row r="34" spans="2:7" x14ac:dyDescent="0.15">
      <c r="B34" s="156" t="s">
        <v>282</v>
      </c>
      <c r="C34" s="166">
        <f>+'5a-OpExYear1'!O36</f>
        <v>0</v>
      </c>
      <c r="D34" s="163"/>
      <c r="E34" s="165"/>
      <c r="F34" s="163"/>
      <c r="G34" s="165"/>
    </row>
    <row r="35" spans="2:7" x14ac:dyDescent="0.15">
      <c r="B35" s="167" t="s">
        <v>158</v>
      </c>
      <c r="C35" s="302">
        <f>SUM(C26:C34)</f>
        <v>49602.659672070396</v>
      </c>
      <c r="D35" s="163"/>
      <c r="E35" s="303">
        <f>SUM(E26:E34)</f>
        <v>46967.531489291301</v>
      </c>
      <c r="F35" s="163"/>
      <c r="G35" s="303">
        <f>SUM(G26:G34)</f>
        <v>44093.680476902206</v>
      </c>
    </row>
    <row r="36" spans="2:7" x14ac:dyDescent="0.15">
      <c r="B36" s="26" t="s">
        <v>227</v>
      </c>
      <c r="C36" s="304">
        <f>SUM(C8:C22)+C35</f>
        <v>53302.659672070396</v>
      </c>
      <c r="D36" s="7"/>
      <c r="E36" s="304">
        <f>SUM(E8:E22)+E35</f>
        <v>50798.531489291301</v>
      </c>
      <c r="F36" s="7"/>
      <c r="G36" s="304">
        <f>SUM(G8:G22)+G35</f>
        <v>48060.610476902206</v>
      </c>
    </row>
  </sheetData>
  <sheetProtection password="CC3D" sheet="1" objects="1" scenarios="1" formatColumns="0" formatRows="0"/>
  <mergeCells count="2">
    <mergeCell ref="C5:F5"/>
    <mergeCell ref="B2:C2"/>
  </mergeCells>
  <phoneticPr fontId="3" type="noConversion"/>
  <conditionalFormatting sqref="E26 G26">
    <cfRule type="containsBlanks" dxfId="45" priority="3">
      <formula>LEN(TRIM(E26))=0</formula>
    </cfRule>
  </conditionalFormatting>
  <printOptions horizontalCentered="1"/>
  <pageMargins left="0.25" right="0.25" top="0.75" bottom="0.75" header="0.3" footer="0.3"/>
  <pageSetup scale="94" orientation="landscape" r:id="rId1"/>
  <headerFooter scaleWithDoc="0">
    <oddHeader>&amp;C&amp;"Gill Sans MT,Regular"&amp;12Operating Expenses Years 1-3</oddHeader>
    <oddFooter>&amp;L&amp;"Gill Sans MT,Regular"&amp;12&amp;F&amp;C&amp;"Gill Sans MT,Regular"&amp;12&amp;A&amp;R&amp;"Gill Sans MT,Regular"&amp;12&amp;D &amp;T</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rgb="FFFFC95B"/>
    <pageSetUpPr fitToPage="1"/>
  </sheetPr>
  <dimension ref="B2:Q34"/>
  <sheetViews>
    <sheetView topLeftCell="A2" zoomScale="200" zoomScaleNormal="100" zoomScalePageLayoutView="80" workbookViewId="0">
      <selection activeCell="C17" sqref="C17"/>
    </sheetView>
  </sheetViews>
  <sheetFormatPr baseColWidth="10" defaultColWidth="8.83203125" defaultRowHeight="12" x14ac:dyDescent="0.15"/>
  <cols>
    <col min="1" max="1" width="11.5" style="46" customWidth="1"/>
    <col min="2" max="2" width="31.33203125" style="46" bestFit="1" customWidth="1"/>
    <col min="3" max="10" width="9.6640625" style="46" customWidth="1"/>
    <col min="11" max="11" width="10.5" style="46" bestFit="1" customWidth="1"/>
    <col min="12" max="12" width="9.6640625" style="46" customWidth="1"/>
    <col min="13" max="13" width="9.6640625" style="46" bestFit="1" customWidth="1"/>
    <col min="14" max="14" width="9.6640625" style="46" customWidth="1"/>
    <col min="15" max="15" width="9.1640625" style="46" customWidth="1"/>
    <col min="16" max="16" width="14.33203125" style="46" bestFit="1" customWidth="1"/>
    <col min="17" max="17" width="5.83203125" style="46" bestFit="1" customWidth="1"/>
    <col min="18" max="18" width="7.83203125" style="46" bestFit="1" customWidth="1"/>
    <col min="19" max="16384" width="8.83203125" style="46"/>
  </cols>
  <sheetData>
    <row r="2" spans="2:17" x14ac:dyDescent="0.15">
      <c r="B2" s="513" t="s">
        <v>331</v>
      </c>
      <c r="C2" s="513"/>
      <c r="E2" s="182"/>
      <c r="H2" s="182"/>
      <c r="P2" s="183"/>
      <c r="Q2" s="183"/>
    </row>
    <row r="3" spans="2:17" x14ac:dyDescent="0.15">
      <c r="H3" s="148"/>
    </row>
    <row r="4" spans="2:17" x14ac:dyDescent="0.15">
      <c r="B4" s="75" t="s">
        <v>130</v>
      </c>
      <c r="C4" s="75" t="s">
        <v>131</v>
      </c>
      <c r="H4" s="148"/>
    </row>
    <row r="5" spans="2:17" x14ac:dyDescent="0.15">
      <c r="B5" s="46" t="str">
        <f>IF(ISBLANK(Directions!C10), "Owner", Directions!C10)</f>
        <v>Dave Johnson</v>
      </c>
      <c r="C5" s="46" t="str">
        <f>IF(ISBLANK(Directions!D10), "Company 1", Directions!D10)</f>
        <v>Dave's Famous Pretzels</v>
      </c>
      <c r="H5" s="148"/>
    </row>
    <row r="7" spans="2:17" ht="14" thickBot="1" x14ac:dyDescent="0.2">
      <c r="B7" s="344"/>
      <c r="C7" s="344" t="str">
        <f>'3a-SalesForecastYear1'!C16</f>
        <v>January</v>
      </c>
      <c r="D7" s="344" t="str">
        <f>'3a-SalesForecastYear1'!D16</f>
        <v>February</v>
      </c>
      <c r="E7" s="344" t="str">
        <f>'3a-SalesForecastYear1'!E16</f>
        <v>March</v>
      </c>
      <c r="F7" s="344" t="str">
        <f>'3a-SalesForecastYear1'!F16</f>
        <v>April</v>
      </c>
      <c r="G7" s="344" t="str">
        <f>'3a-SalesForecastYear1'!G16</f>
        <v>May</v>
      </c>
      <c r="H7" s="344" t="str">
        <f>'3a-SalesForecastYear1'!H16</f>
        <v>June</v>
      </c>
      <c r="I7" s="344" t="str">
        <f>'3a-SalesForecastYear1'!I16</f>
        <v>July</v>
      </c>
      <c r="J7" s="344" t="str">
        <f>'3a-SalesForecastYear1'!J16</f>
        <v>August</v>
      </c>
      <c r="K7" s="344" t="str">
        <f>'3a-SalesForecastYear1'!K16</f>
        <v>September</v>
      </c>
      <c r="L7" s="344" t="str">
        <f>'3a-SalesForecastYear1'!L16</f>
        <v>October</v>
      </c>
      <c r="M7" s="344" t="str">
        <f>'3a-SalesForecastYear1'!M16</f>
        <v>November</v>
      </c>
      <c r="N7" s="344" t="str">
        <f>'3a-SalesForecastYear1'!N16</f>
        <v>December</v>
      </c>
      <c r="O7" s="344" t="s">
        <v>8</v>
      </c>
    </row>
    <row r="8" spans="2:17" ht="13" thickTop="1" x14ac:dyDescent="0.15">
      <c r="B8" s="349" t="s">
        <v>84</v>
      </c>
      <c r="C8" s="350">
        <f>Working_Capital</f>
        <v>5000</v>
      </c>
      <c r="D8" s="350">
        <f t="shared" ref="D8:N8" si="0">C33</f>
        <v>4235.5652158829234</v>
      </c>
      <c r="E8" s="350">
        <f t="shared" si="0"/>
        <v>4003.4664317658471</v>
      </c>
      <c r="F8" s="350">
        <f t="shared" si="0"/>
        <v>4356.9372476487706</v>
      </c>
      <c r="G8" s="350">
        <f t="shared" si="0"/>
        <v>4996.8839995316939</v>
      </c>
      <c r="H8" s="350">
        <f t="shared" si="0"/>
        <v>6046.4952435746163</v>
      </c>
      <c r="I8" s="350">
        <f t="shared" si="0"/>
        <v>7530.3508493071395</v>
      </c>
      <c r="J8" s="350">
        <f t="shared" si="0"/>
        <v>9321.0724706336478</v>
      </c>
      <c r="K8" s="350">
        <f t="shared" si="0"/>
        <v>11430.934748177899</v>
      </c>
      <c r="L8" s="350">
        <f t="shared" si="0"/>
        <v>13872.703308188604</v>
      </c>
      <c r="M8" s="350">
        <f t="shared" si="0"/>
        <v>16573.35876852314</v>
      </c>
      <c r="N8" s="350">
        <f t="shared" si="0"/>
        <v>19540.667736191226</v>
      </c>
      <c r="O8" s="351"/>
    </row>
    <row r="9" spans="2:17" x14ac:dyDescent="0.15">
      <c r="B9" s="47" t="s">
        <v>21</v>
      </c>
      <c r="C9" s="49"/>
      <c r="D9" s="49"/>
      <c r="E9" s="49"/>
      <c r="F9" s="49"/>
      <c r="G9" s="49"/>
      <c r="H9" s="49"/>
      <c r="I9" s="49"/>
      <c r="J9" s="49"/>
      <c r="K9" s="49"/>
      <c r="L9" s="49"/>
      <c r="M9" s="49"/>
      <c r="N9" s="49"/>
      <c r="O9" s="49"/>
    </row>
    <row r="10" spans="2:17" x14ac:dyDescent="0.15">
      <c r="B10" s="184" t="s">
        <v>124</v>
      </c>
      <c r="C10" s="185">
        <f>'3a-SalesForecastYear1'!C53*'4-AdditionalInputs'!$C$9</f>
        <v>6685.5</v>
      </c>
      <c r="D10" s="83">
        <f>'3a-SalesForecastYear1'!D53*'4-AdditionalInputs'!$C$9</f>
        <v>7354.05</v>
      </c>
      <c r="E10" s="83">
        <f>'3a-SalesForecastYear1'!E53*'4-AdditionalInputs'!$C$9</f>
        <v>8089.4549999999999</v>
      </c>
      <c r="F10" s="83">
        <f>'3a-SalesForecastYear1'!F53*'4-AdditionalInputs'!$C$9</f>
        <v>8574.8222999999998</v>
      </c>
      <c r="G10" s="83">
        <f>'3a-SalesForecastYear1'!G53*'4-AdditionalInputs'!$C$9</f>
        <v>9089.3116379999992</v>
      </c>
      <c r="H10" s="83">
        <f>'3a-SalesForecastYear1'!H53*'4-AdditionalInputs'!$C$9</f>
        <v>9634.6703362799999</v>
      </c>
      <c r="I10" s="83">
        <f>'3a-SalesForecastYear1'!I53*'4-AdditionalInputs'!$C$9</f>
        <v>10020.057149731199</v>
      </c>
      <c r="J10" s="83">
        <f>'3a-SalesForecastYear1'!J53*'4-AdditionalInputs'!$C$9</f>
        <v>10420.859435720447</v>
      </c>
      <c r="K10" s="83">
        <f>'3a-SalesForecastYear1'!K53*'4-AdditionalInputs'!$C$9</f>
        <v>10837.693813149266</v>
      </c>
      <c r="L10" s="83">
        <f>'3a-SalesForecastYear1'!L53*'4-AdditionalInputs'!$C$9</f>
        <v>11162.824627543743</v>
      </c>
      <c r="M10" s="83">
        <f>'3a-SalesForecastYear1'!M53*'4-AdditionalInputs'!$C$9</f>
        <v>11497.709366370056</v>
      </c>
      <c r="N10" s="83">
        <f>'3a-SalesForecastYear1'!N53*'4-AdditionalInputs'!$C$9</f>
        <v>11842.640647361159</v>
      </c>
      <c r="O10" s="53">
        <f>SUM(C10:N10)</f>
        <v>115209.59431415585</v>
      </c>
    </row>
    <row r="11" spans="2:17" x14ac:dyDescent="0.15">
      <c r="B11" s="184" t="s">
        <v>228</v>
      </c>
      <c r="C11" s="83">
        <v>0</v>
      </c>
      <c r="D11" s="83">
        <f>('3a-SalesForecastYear1'!C53*'4-AdditionalInputs'!$C$10)</f>
        <v>0</v>
      </c>
      <c r="E11" s="83">
        <f>('3a-SalesForecastYear1'!D53*'4-AdditionalInputs'!$C$10)+('3a-SalesForecastYear1'!C53*'4-AdditionalInputs'!$C$11)</f>
        <v>0</v>
      </c>
      <c r="F11" s="83">
        <f>('3a-SalesForecastYear1'!E53*'4-AdditionalInputs'!$C$10)+('3a-SalesForecastYear1'!D53*'4-AdditionalInputs'!$C$11)</f>
        <v>0</v>
      </c>
      <c r="G11" s="83">
        <f>('3a-SalesForecastYear1'!F53*'4-AdditionalInputs'!$C$10)+('3a-SalesForecastYear1'!E53*'4-AdditionalInputs'!$C$11)</f>
        <v>0</v>
      </c>
      <c r="H11" s="83">
        <f>('3a-SalesForecastYear1'!G53*'4-AdditionalInputs'!$C$10)+('3a-SalesForecastYear1'!F53*'4-AdditionalInputs'!$C$11)</f>
        <v>0</v>
      </c>
      <c r="I11" s="83">
        <f>('3a-SalesForecastYear1'!H53*'4-AdditionalInputs'!$C$10)+('3a-SalesForecastYear1'!G53*'4-AdditionalInputs'!$C$11)</f>
        <v>0</v>
      </c>
      <c r="J11" s="83">
        <f>('3a-SalesForecastYear1'!I53*'4-AdditionalInputs'!$C$10)+('3a-SalesForecastYear1'!H53*'4-AdditionalInputs'!$C$11)</f>
        <v>0</v>
      </c>
      <c r="K11" s="83">
        <f>('3a-SalesForecastYear1'!J53*'4-AdditionalInputs'!$C$10)+('3a-SalesForecastYear1'!I53*'4-AdditionalInputs'!$C$11)</f>
        <v>0</v>
      </c>
      <c r="L11" s="83">
        <f>('3a-SalesForecastYear1'!K53*'4-AdditionalInputs'!$C$10)+('3a-SalesForecastYear1'!J53*'4-AdditionalInputs'!$C$11)</f>
        <v>0</v>
      </c>
      <c r="M11" s="83">
        <f>('3a-SalesForecastYear1'!L53*'4-AdditionalInputs'!$C$10)+('3a-SalesForecastYear1'!K53*'4-AdditionalInputs'!$C$11)</f>
        <v>0</v>
      </c>
      <c r="N11" s="83">
        <f>('3a-SalesForecastYear1'!M53*'4-AdditionalInputs'!$C$10)+('3a-SalesForecastYear1'!L53*'4-AdditionalInputs'!$C$11)</f>
        <v>0</v>
      </c>
      <c r="O11" s="53">
        <f>SUM(C11:N11)</f>
        <v>0</v>
      </c>
    </row>
    <row r="12" spans="2:17" x14ac:dyDescent="0.15">
      <c r="B12" s="26" t="s">
        <v>22</v>
      </c>
      <c r="C12" s="86">
        <f>SUM(C10:C11)</f>
        <v>6685.5</v>
      </c>
      <c r="D12" s="86">
        <f t="shared" ref="D12:N12" si="1">SUM(D10:D11)</f>
        <v>7354.05</v>
      </c>
      <c r="E12" s="86">
        <f t="shared" si="1"/>
        <v>8089.4549999999999</v>
      </c>
      <c r="F12" s="86">
        <f t="shared" si="1"/>
        <v>8574.8222999999998</v>
      </c>
      <c r="G12" s="86">
        <f t="shared" si="1"/>
        <v>9089.3116379999992</v>
      </c>
      <c r="H12" s="86">
        <f t="shared" si="1"/>
        <v>9634.6703362799999</v>
      </c>
      <c r="I12" s="86">
        <f t="shared" si="1"/>
        <v>10020.057149731199</v>
      </c>
      <c r="J12" s="86">
        <f t="shared" si="1"/>
        <v>10420.859435720447</v>
      </c>
      <c r="K12" s="86">
        <f t="shared" si="1"/>
        <v>10837.693813149266</v>
      </c>
      <c r="L12" s="86">
        <f t="shared" si="1"/>
        <v>11162.824627543743</v>
      </c>
      <c r="M12" s="86">
        <f t="shared" si="1"/>
        <v>11497.709366370056</v>
      </c>
      <c r="N12" s="86">
        <f t="shared" si="1"/>
        <v>11842.640647361159</v>
      </c>
      <c r="O12" s="53">
        <f>SUM(O10:O11)</f>
        <v>115209.59431415585</v>
      </c>
    </row>
    <row r="13" spans="2:17" x14ac:dyDescent="0.15">
      <c r="B13" s="26"/>
      <c r="C13" s="83"/>
      <c r="D13" s="186"/>
      <c r="E13" s="186"/>
      <c r="F13" s="186"/>
      <c r="G13" s="186"/>
      <c r="H13" s="186"/>
      <c r="I13" s="186"/>
      <c r="J13" s="186"/>
      <c r="K13" s="186"/>
      <c r="L13" s="186"/>
      <c r="M13" s="186"/>
      <c r="N13" s="186"/>
      <c r="O13" s="53"/>
    </row>
    <row r="14" spans="2:17" x14ac:dyDescent="0.15">
      <c r="B14" s="47" t="s">
        <v>23</v>
      </c>
      <c r="C14" s="83"/>
      <c r="D14" s="186"/>
      <c r="E14" s="186"/>
      <c r="F14" s="186"/>
      <c r="G14" s="186"/>
      <c r="H14" s="186"/>
      <c r="I14" s="186"/>
      <c r="J14" s="186"/>
      <c r="K14" s="186"/>
      <c r="L14" s="186"/>
      <c r="M14" s="186"/>
      <c r="N14" s="186"/>
      <c r="O14" s="53"/>
    </row>
    <row r="15" spans="2:17" x14ac:dyDescent="0.15">
      <c r="B15" s="184" t="s">
        <v>24</v>
      </c>
      <c r="C15" s="83"/>
      <c r="D15" s="186"/>
      <c r="E15" s="186"/>
      <c r="F15" s="186"/>
      <c r="G15" s="186"/>
      <c r="H15" s="186"/>
      <c r="I15" s="186"/>
      <c r="J15" s="186"/>
      <c r="K15" s="186"/>
      <c r="L15" s="186"/>
      <c r="M15" s="186"/>
      <c r="N15" s="186"/>
      <c r="O15" s="53"/>
    </row>
    <row r="16" spans="2:17" x14ac:dyDescent="0.15">
      <c r="B16" s="187" t="s">
        <v>285</v>
      </c>
      <c r="C16" s="83">
        <v>0</v>
      </c>
      <c r="D16" s="83">
        <f>'4-AdditionalInputs'!E35</f>
        <v>0</v>
      </c>
      <c r="E16" s="83">
        <f>'4-AdditionalInputs'!F35</f>
        <v>0</v>
      </c>
      <c r="F16" s="83">
        <f>'4-AdditionalInputs'!G35</f>
        <v>0</v>
      </c>
      <c r="G16" s="83">
        <f>'4-AdditionalInputs'!H35</f>
        <v>0</v>
      </c>
      <c r="H16" s="83">
        <f>'4-AdditionalInputs'!I35</f>
        <v>0</v>
      </c>
      <c r="I16" s="83">
        <f>'4-AdditionalInputs'!J35</f>
        <v>0</v>
      </c>
      <c r="J16" s="83">
        <f>'4-AdditionalInputs'!K35</f>
        <v>0</v>
      </c>
      <c r="K16" s="83">
        <f>'4-AdditionalInputs'!L35</f>
        <v>0</v>
      </c>
      <c r="L16" s="83">
        <f>'4-AdditionalInputs'!M35</f>
        <v>0</v>
      </c>
      <c r="M16" s="83">
        <f>'4-AdditionalInputs'!N35</f>
        <v>0</v>
      </c>
      <c r="N16" s="83">
        <f>'4-AdditionalInputs'!O35</f>
        <v>0</v>
      </c>
      <c r="O16" s="53">
        <f>SUM(C16:N16)</f>
        <v>0</v>
      </c>
    </row>
    <row r="17" spans="2:15" x14ac:dyDescent="0.15">
      <c r="B17" s="187" t="s">
        <v>286</v>
      </c>
      <c r="C17" s="154"/>
      <c r="D17" s="154"/>
      <c r="E17" s="154"/>
      <c r="F17" s="154"/>
      <c r="G17" s="154"/>
      <c r="H17" s="154"/>
      <c r="I17" s="154"/>
      <c r="J17" s="154"/>
      <c r="K17" s="154"/>
      <c r="L17" s="154"/>
      <c r="M17" s="154"/>
      <c r="N17" s="154"/>
      <c r="O17" s="53">
        <f>SUM(C17:N17)</f>
        <v>0</v>
      </c>
    </row>
    <row r="18" spans="2:15" x14ac:dyDescent="0.15">
      <c r="B18" s="187" t="s">
        <v>29</v>
      </c>
      <c r="C18" s="83">
        <f>'3a-SalesForecastYear1'!C54*'4-AdditionalInputs'!$C$17</f>
        <v>1362.1399999999999</v>
      </c>
      <c r="D18" s="83">
        <f>('3a-SalesForecastYear1'!D54*'4-AdditionalInputs'!$C$17)+('3a-SalesForecastYear1'!C54*'4-AdditionalInputs'!$C$18)</f>
        <v>1498.354</v>
      </c>
      <c r="E18" s="83">
        <f>('3a-SalesForecastYear1'!E54*'4-AdditionalInputs'!$C$17)+('3a-SalesForecastYear1'!D54*'4-AdditionalInputs'!$C$18)+('3a-SalesForecastYear1'!C54*'4-AdditionalInputs'!$C$19)</f>
        <v>1648.1893999999998</v>
      </c>
      <c r="F18" s="83">
        <f>('3a-SalesForecastYear1'!F54*'4-AdditionalInputs'!$C$17)+('3a-SalesForecastYear1'!E54*'4-AdditionalInputs'!$C$18)+('3a-SalesForecastYear1'!D54*'4-AdditionalInputs'!$C$19)</f>
        <v>1747.0807639999998</v>
      </c>
      <c r="G18" s="83">
        <f>('3a-SalesForecastYear1'!G54*'4-AdditionalInputs'!$C$17)+('3a-SalesForecastYear1'!F54*'4-AdditionalInputs'!$C$18)+('3a-SalesForecastYear1'!E54*'4-AdditionalInputs'!$C$19)</f>
        <v>1851.9056098399997</v>
      </c>
      <c r="H18" s="83">
        <f>('3a-SalesForecastYear1'!H54*'4-AdditionalInputs'!$C$17)+('3a-SalesForecastYear1'!G54*'4-AdditionalInputs'!$C$18)+('3a-SalesForecastYear1'!F54*'4-AdditionalInputs'!$C$19)</f>
        <v>1963.0199464303998</v>
      </c>
      <c r="I18" s="83">
        <f>('3a-SalesForecastYear1'!I54*'4-AdditionalInputs'!$C$17)+('3a-SalesForecastYear1'!H54*'4-AdditionalInputs'!$C$18)+('3a-SalesForecastYear1'!G54*'4-AdditionalInputs'!$C$19)</f>
        <v>2041.540744287616</v>
      </c>
      <c r="J18" s="83">
        <f>('3a-SalesForecastYear1'!J54*'4-AdditionalInputs'!$C$17)+('3a-SalesForecastYear1'!I54*'4-AdditionalInputs'!$C$18)+('3a-SalesForecastYear1'!H54*'4-AdditionalInputs'!$C$19)</f>
        <v>2123.2023740591203</v>
      </c>
      <c r="K18" s="83">
        <f>('3a-SalesForecastYear1'!K54*'4-AdditionalInputs'!$C$17)+('3a-SalesForecastYear1'!J54*'4-AdditionalInputs'!$C$18)+('3a-SalesForecastYear1'!I54*'4-AdditionalInputs'!$C$19)</f>
        <v>2208.1304690214852</v>
      </c>
      <c r="L18" s="83">
        <f>('3a-SalesForecastYear1'!L54*'4-AdditionalInputs'!$C$17)+('3a-SalesForecastYear1'!K54*'4-AdditionalInputs'!$C$18)+('3a-SalesForecastYear1'!J54*'4-AdditionalInputs'!$C$19)</f>
        <v>2274.3743830921298</v>
      </c>
      <c r="M18" s="83">
        <f>('3a-SalesForecastYear1'!M54*'4-AdditionalInputs'!$C$17)+('3a-SalesForecastYear1'!L54*'4-AdditionalInputs'!$C$18)+('3a-SalesForecastYear1'!K54*'4-AdditionalInputs'!$C$19)</f>
        <v>2342.6056145848938</v>
      </c>
      <c r="N18" s="83">
        <f>('3a-SalesForecastYear1'!N54*'4-AdditionalInputs'!$C$17)+('3a-SalesForecastYear1'!M54*'4-AdditionalInputs'!$C$18)+('3a-SalesForecastYear1'!L54*'4-AdditionalInputs'!$C$19)</f>
        <v>2412.8837830224406</v>
      </c>
      <c r="O18" s="53">
        <f>SUM(C18:N18)</f>
        <v>23473.427088338085</v>
      </c>
    </row>
    <row r="19" spans="2:15" x14ac:dyDescent="0.15">
      <c r="B19" s="184" t="s">
        <v>263</v>
      </c>
      <c r="C19" s="83"/>
      <c r="D19" s="83"/>
      <c r="E19" s="83"/>
      <c r="F19" s="83"/>
      <c r="G19" s="83"/>
      <c r="H19" s="83"/>
      <c r="I19" s="83"/>
      <c r="J19" s="83"/>
      <c r="K19" s="83"/>
      <c r="L19" s="83"/>
      <c r="M19" s="83"/>
      <c r="N19" s="83"/>
      <c r="O19" s="53"/>
    </row>
    <row r="20" spans="2:15" x14ac:dyDescent="0.15">
      <c r="B20" s="187" t="s">
        <v>135</v>
      </c>
      <c r="C20" s="83">
        <f>'5a-OpExYear1'!C25</f>
        <v>150</v>
      </c>
      <c r="D20" s="83">
        <f>'5a-OpExYear1'!D25</f>
        <v>150</v>
      </c>
      <c r="E20" s="83">
        <f>'5a-OpExYear1'!E25</f>
        <v>150</v>
      </c>
      <c r="F20" s="83">
        <f>'5a-OpExYear1'!F25</f>
        <v>250</v>
      </c>
      <c r="G20" s="83">
        <f>'5a-OpExYear1'!G25</f>
        <v>250</v>
      </c>
      <c r="H20" s="83">
        <f>'5a-OpExYear1'!H25</f>
        <v>250</v>
      </c>
      <c r="I20" s="83">
        <f>'5a-OpExYear1'!I25</f>
        <v>250</v>
      </c>
      <c r="J20" s="83">
        <f>'5a-OpExYear1'!J25</f>
        <v>250</v>
      </c>
      <c r="K20" s="83">
        <f>'5a-OpExYear1'!K25</f>
        <v>250</v>
      </c>
      <c r="L20" s="83">
        <f>'5a-OpExYear1'!L25</f>
        <v>250</v>
      </c>
      <c r="M20" s="83">
        <f>'5a-OpExYear1'!M25</f>
        <v>250</v>
      </c>
      <c r="N20" s="83">
        <f>'5a-OpExYear1'!N25</f>
        <v>1250</v>
      </c>
      <c r="O20" s="53">
        <f t="shared" ref="O20:O22" si="2">SUM(C20:N20)</f>
        <v>3700</v>
      </c>
    </row>
    <row r="21" spans="2:15" x14ac:dyDescent="0.15">
      <c r="B21" s="187" t="s">
        <v>211</v>
      </c>
      <c r="C21" s="83">
        <f>'2a-PayrollYear1'!F25</f>
        <v>2021.0541666666666</v>
      </c>
      <c r="D21" s="83">
        <f>'2a-PayrollYear1'!G25</f>
        <v>2021.0541666666666</v>
      </c>
      <c r="E21" s="83">
        <f>'2a-PayrollYear1'!H25</f>
        <v>2021.0541666666666</v>
      </c>
      <c r="F21" s="83">
        <f>'2a-PayrollYear1'!I25</f>
        <v>2021.0541666666666</v>
      </c>
      <c r="G21" s="83">
        <f>'2a-PayrollYear1'!J25</f>
        <v>2021.0541666666666</v>
      </c>
      <c r="H21" s="83">
        <f>'2a-PayrollYear1'!K25</f>
        <v>2021.0541666666666</v>
      </c>
      <c r="I21" s="83">
        <f>'2a-PayrollYear1'!L25</f>
        <v>2021.0541666666666</v>
      </c>
      <c r="J21" s="83">
        <f>'2a-PayrollYear1'!M25</f>
        <v>2021.0541666666666</v>
      </c>
      <c r="K21" s="83">
        <f>'2a-PayrollYear1'!N25</f>
        <v>2021.0541666666666</v>
      </c>
      <c r="L21" s="83">
        <f>'2a-PayrollYear1'!O25</f>
        <v>2021.0541666666666</v>
      </c>
      <c r="M21" s="83">
        <f>'2a-PayrollYear1'!P25</f>
        <v>2021.0541666666666</v>
      </c>
      <c r="N21" s="83">
        <f>'2a-PayrollYear1'!Q25</f>
        <v>2021.0541666666666</v>
      </c>
      <c r="O21" s="53">
        <f t="shared" si="2"/>
        <v>24252.649999999994</v>
      </c>
    </row>
    <row r="22" spans="2:15" x14ac:dyDescent="0.15">
      <c r="B22" s="187" t="s">
        <v>160</v>
      </c>
      <c r="C22" s="83">
        <v>0</v>
      </c>
      <c r="D22" s="83">
        <v>0</v>
      </c>
      <c r="E22" s="83">
        <f>SUM('7a-IncomeStatementYear1'!C59:E59)</f>
        <v>0</v>
      </c>
      <c r="F22" s="83">
        <v>0</v>
      </c>
      <c r="G22" s="83">
        <v>0</v>
      </c>
      <c r="H22" s="83">
        <f>SUM('7a-IncomeStatementYear1'!F59:H59)</f>
        <v>0</v>
      </c>
      <c r="I22" s="83">
        <v>0</v>
      </c>
      <c r="J22" s="83">
        <v>0</v>
      </c>
      <c r="K22" s="83">
        <f>SUM('7a-IncomeStatementYear1'!I59:K59)</f>
        <v>0</v>
      </c>
      <c r="L22" s="83">
        <v>0</v>
      </c>
      <c r="M22" s="83">
        <v>0</v>
      </c>
      <c r="N22" s="83">
        <f>SUM('7a-IncomeStatementYear1'!L59:N59)</f>
        <v>0</v>
      </c>
      <c r="O22" s="53">
        <f t="shared" si="2"/>
        <v>0</v>
      </c>
    </row>
    <row r="23" spans="2:15" x14ac:dyDescent="0.15">
      <c r="B23" s="184" t="s">
        <v>25</v>
      </c>
      <c r="C23" s="83"/>
      <c r="D23" s="186"/>
      <c r="E23" s="186"/>
      <c r="F23" s="186"/>
      <c r="G23" s="186"/>
      <c r="H23" s="186"/>
      <c r="I23" s="186"/>
      <c r="J23" s="186"/>
      <c r="K23" s="186"/>
      <c r="L23" s="186"/>
      <c r="M23" s="186"/>
      <c r="N23" s="186"/>
      <c r="O23" s="53"/>
    </row>
    <row r="24" spans="2:15" x14ac:dyDescent="0.15">
      <c r="B24" s="187" t="s">
        <v>26</v>
      </c>
      <c r="C24" s="186">
        <f>SUM('Amortization&amp;Depreciation'!C15:C16)+SUM('Amortization&amp;Depreciation'!C35:C36)+SUM('Amortization&amp;Depreciation'!C55:C56)+SUM('Amortization&amp;Depreciation'!C75:C76)+SUM('Amortization&amp;Depreciation'!C95:C96)</f>
        <v>3916.7406174504104</v>
      </c>
      <c r="D24" s="186">
        <f>SUM('Amortization&amp;Depreciation'!D15:D16)+SUM('Amortization&amp;Depreciation'!D35:D36)+SUM('Amortization&amp;Depreciation'!D55:D56)+SUM('Amortization&amp;Depreciation'!D75:D76)+SUM('Amortization&amp;Depreciation'!D95:D96)</f>
        <v>3916.7406174504104</v>
      </c>
      <c r="E24" s="186">
        <f>SUM('Amortization&amp;Depreciation'!E15:E16)+SUM('Amortization&amp;Depreciation'!E35:E36)+SUM('Amortization&amp;Depreciation'!E55:E56)+SUM('Amortization&amp;Depreciation'!E75:E76)+SUM('Amortization&amp;Depreciation'!E95:E96)</f>
        <v>3916.7406174504104</v>
      </c>
      <c r="F24" s="186">
        <f>SUM('Amortization&amp;Depreciation'!F15:F16)+SUM('Amortization&amp;Depreciation'!F35:F36)+SUM('Amortization&amp;Depreciation'!F55:F56)+SUM('Amortization&amp;Depreciation'!F75:F76)+SUM('Amortization&amp;Depreciation'!F95:F96)</f>
        <v>3916.7406174504104</v>
      </c>
      <c r="G24" s="186">
        <f>SUM('Amortization&amp;Depreciation'!G15:G16)+SUM('Amortization&amp;Depreciation'!G35:G36)+SUM('Amortization&amp;Depreciation'!G55:G56)+SUM('Amortization&amp;Depreciation'!G75:G76)+SUM('Amortization&amp;Depreciation'!G95:G96)</f>
        <v>3916.7406174504104</v>
      </c>
      <c r="H24" s="186">
        <f>SUM('Amortization&amp;Depreciation'!H15:H16)+SUM('Amortization&amp;Depreciation'!H35:H36)+SUM('Amortization&amp;Depreciation'!H55:H56)+SUM('Amortization&amp;Depreciation'!H75:H76)+SUM('Amortization&amp;Depreciation'!H95:H96)</f>
        <v>3916.7406174504104</v>
      </c>
      <c r="I24" s="186">
        <f>SUM('Amortization&amp;Depreciation'!I15:I16)+SUM('Amortization&amp;Depreciation'!I35:I36)+SUM('Amortization&amp;Depreciation'!I55:I56)+SUM('Amortization&amp;Depreciation'!I75:I76)+SUM('Amortization&amp;Depreciation'!I95:I96)</f>
        <v>3916.7406174504104</v>
      </c>
      <c r="J24" s="186">
        <f>SUM('Amortization&amp;Depreciation'!J15:J16)+SUM('Amortization&amp;Depreciation'!J35:J36)+SUM('Amortization&amp;Depreciation'!J55:J56)+SUM('Amortization&amp;Depreciation'!J75:J76)+SUM('Amortization&amp;Depreciation'!J95:J96)</f>
        <v>3916.7406174504104</v>
      </c>
      <c r="K24" s="186">
        <f>SUM('Amortization&amp;Depreciation'!K15:K16)+SUM('Amortization&amp;Depreciation'!K35:K36)+SUM('Amortization&amp;Depreciation'!K55:K56)+SUM('Amortization&amp;Depreciation'!K75:K76)+SUM('Amortization&amp;Depreciation'!K95:K96)</f>
        <v>3916.7406174504099</v>
      </c>
      <c r="L24" s="186">
        <f>SUM('Amortization&amp;Depreciation'!L15:L16)+SUM('Amortization&amp;Depreciation'!L35:L36)+SUM('Amortization&amp;Depreciation'!L55:L56)+SUM('Amortization&amp;Depreciation'!L75:L76)+SUM('Amortization&amp;Depreciation'!L95:L96)</f>
        <v>3916.7406174504104</v>
      </c>
      <c r="M24" s="186">
        <f>SUM('Amortization&amp;Depreciation'!M15:M16)+SUM('Amortization&amp;Depreciation'!M35:M36)+SUM('Amortization&amp;Depreciation'!M55:M56)+SUM('Amortization&amp;Depreciation'!M75:M76)+SUM('Amortization&amp;Depreciation'!M95:M96)</f>
        <v>3916.7406174504099</v>
      </c>
      <c r="N24" s="186">
        <f>SUM('Amortization&amp;Depreciation'!N15:N16)+SUM('Amortization&amp;Depreciation'!N35:N36)+SUM('Amortization&amp;Depreciation'!N55:N56)+SUM('Amortization&amp;Depreciation'!N75:N76)+SUM('Amortization&amp;Depreciation'!N95:N96)</f>
        <v>3916.7406174504104</v>
      </c>
      <c r="O24" s="53">
        <f t="shared" ref="O24:O32" si="3">SUM(C24:N24)</f>
        <v>47000.88740940491</v>
      </c>
    </row>
    <row r="25" spans="2:15" x14ac:dyDescent="0.15">
      <c r="B25" s="187" t="s">
        <v>30</v>
      </c>
      <c r="C25" s="154"/>
      <c r="D25" s="154"/>
      <c r="E25" s="154"/>
      <c r="F25" s="154"/>
      <c r="G25" s="154"/>
      <c r="H25" s="154"/>
      <c r="I25" s="154"/>
      <c r="J25" s="154"/>
      <c r="K25" s="154"/>
      <c r="L25" s="154"/>
      <c r="M25" s="154"/>
      <c r="N25" s="154"/>
      <c r="O25" s="53">
        <f t="shared" si="3"/>
        <v>0</v>
      </c>
    </row>
    <row r="26" spans="2:15" x14ac:dyDescent="0.15">
      <c r="B26" s="187" t="s">
        <v>200</v>
      </c>
      <c r="C26" s="83"/>
      <c r="D26" s="83">
        <f>C34*'4-AdditionalInputs'!$D$25/12</f>
        <v>0</v>
      </c>
      <c r="E26" s="83">
        <f>D34*'4-AdditionalInputs'!$D$25/12</f>
        <v>0</v>
      </c>
      <c r="F26" s="83">
        <f>E34*'4-AdditionalInputs'!$D$25/12</f>
        <v>0</v>
      </c>
      <c r="G26" s="83">
        <f>F34*'4-AdditionalInputs'!$D$25/12</f>
        <v>0</v>
      </c>
      <c r="H26" s="83">
        <f>G34*'4-AdditionalInputs'!$D$25/12</f>
        <v>0</v>
      </c>
      <c r="I26" s="83">
        <f>H34*'4-AdditionalInputs'!$D$25/12</f>
        <v>0</v>
      </c>
      <c r="J26" s="83">
        <f>I34*'4-AdditionalInputs'!$D$25/12</f>
        <v>0</v>
      </c>
      <c r="K26" s="83">
        <f>J34*'4-AdditionalInputs'!$D$25/12</f>
        <v>0</v>
      </c>
      <c r="L26" s="83">
        <f>K34*'4-AdditionalInputs'!$D$25/12</f>
        <v>0</v>
      </c>
      <c r="M26" s="83">
        <f>L34*'4-AdditionalInputs'!$D$25/12</f>
        <v>0</v>
      </c>
      <c r="N26" s="83">
        <f>M34*'4-AdditionalInputs'!$D$25/12</f>
        <v>0</v>
      </c>
      <c r="O26" s="53">
        <f t="shared" si="3"/>
        <v>0</v>
      </c>
    </row>
    <row r="27" spans="2:15" x14ac:dyDescent="0.15">
      <c r="B27" s="187" t="s">
        <v>201</v>
      </c>
      <c r="C27" s="154"/>
      <c r="D27" s="154"/>
      <c r="E27" s="154"/>
      <c r="F27" s="154"/>
      <c r="G27" s="154"/>
      <c r="H27" s="154"/>
      <c r="I27" s="154"/>
      <c r="J27" s="154"/>
      <c r="K27" s="154"/>
      <c r="L27" s="154"/>
      <c r="M27" s="154"/>
      <c r="N27" s="154"/>
      <c r="O27" s="53">
        <f t="shared" si="3"/>
        <v>0</v>
      </c>
    </row>
    <row r="28" spans="2:15" x14ac:dyDescent="0.15">
      <c r="B28" s="187" t="s">
        <v>265</v>
      </c>
      <c r="C28" s="154"/>
      <c r="D28" s="154"/>
      <c r="E28" s="154"/>
      <c r="F28" s="154"/>
      <c r="G28" s="154"/>
      <c r="H28" s="154"/>
      <c r="I28" s="154"/>
      <c r="J28" s="154"/>
      <c r="K28" s="154"/>
      <c r="L28" s="154"/>
      <c r="M28" s="154"/>
      <c r="N28" s="154"/>
      <c r="O28" s="53">
        <f t="shared" si="3"/>
        <v>0</v>
      </c>
    </row>
    <row r="29" spans="2:15" x14ac:dyDescent="0.15">
      <c r="B29" s="188" t="s">
        <v>27</v>
      </c>
      <c r="C29" s="189">
        <f>SUM(C16:C28)</f>
        <v>7449.9347841170766</v>
      </c>
      <c r="D29" s="189">
        <f t="shared" ref="D29:N29" si="4">SUM(D16:D28)</f>
        <v>7586.1487841170765</v>
      </c>
      <c r="E29" s="189">
        <f t="shared" si="4"/>
        <v>7735.9841841170764</v>
      </c>
      <c r="F29" s="189">
        <f t="shared" si="4"/>
        <v>7934.8755481170765</v>
      </c>
      <c r="G29" s="189">
        <f t="shared" si="4"/>
        <v>8039.7003939570768</v>
      </c>
      <c r="H29" s="189">
        <f t="shared" si="4"/>
        <v>8150.8147305474768</v>
      </c>
      <c r="I29" s="189">
        <f t="shared" si="4"/>
        <v>8229.335528404692</v>
      </c>
      <c r="J29" s="189">
        <f t="shared" si="4"/>
        <v>8310.9971581761965</v>
      </c>
      <c r="K29" s="189">
        <f t="shared" si="4"/>
        <v>8395.9252531385609</v>
      </c>
      <c r="L29" s="189">
        <f t="shared" si="4"/>
        <v>8462.1691672092056</v>
      </c>
      <c r="M29" s="189">
        <f t="shared" si="4"/>
        <v>8530.4003987019696</v>
      </c>
      <c r="N29" s="189">
        <f t="shared" si="4"/>
        <v>9600.6785671395173</v>
      </c>
      <c r="O29" s="53">
        <f t="shared" si="3"/>
        <v>98426.964497742985</v>
      </c>
    </row>
    <row r="30" spans="2:15" x14ac:dyDescent="0.15">
      <c r="B30" s="47" t="s">
        <v>125</v>
      </c>
      <c r="C30" s="86">
        <f t="shared" ref="C30:N30" si="5">C12-C29</f>
        <v>-764.43478411707656</v>
      </c>
      <c r="D30" s="53">
        <f t="shared" si="5"/>
        <v>-232.09878411707632</v>
      </c>
      <c r="E30" s="53">
        <f t="shared" si="5"/>
        <v>353.47081588292349</v>
      </c>
      <c r="F30" s="53">
        <f t="shared" si="5"/>
        <v>639.94675188292331</v>
      </c>
      <c r="G30" s="53">
        <f t="shared" si="5"/>
        <v>1049.6112440429224</v>
      </c>
      <c r="H30" s="53">
        <f t="shared" si="5"/>
        <v>1483.8556057325231</v>
      </c>
      <c r="I30" s="53">
        <f t="shared" si="5"/>
        <v>1790.7216213265074</v>
      </c>
      <c r="J30" s="53">
        <f t="shared" si="5"/>
        <v>2109.8622775442509</v>
      </c>
      <c r="K30" s="53">
        <f t="shared" si="5"/>
        <v>2441.7685600107052</v>
      </c>
      <c r="L30" s="53">
        <f t="shared" si="5"/>
        <v>2700.6554603345376</v>
      </c>
      <c r="M30" s="53">
        <f t="shared" si="5"/>
        <v>2967.3089676680866</v>
      </c>
      <c r="N30" s="53">
        <f t="shared" si="5"/>
        <v>2241.9620802216414</v>
      </c>
      <c r="O30" s="53">
        <f t="shared" si="3"/>
        <v>16782.629816412868</v>
      </c>
    </row>
    <row r="31" spans="2:15" x14ac:dyDescent="0.15">
      <c r="B31" s="47" t="s">
        <v>229</v>
      </c>
      <c r="C31" s="86">
        <f>C8+C30</f>
        <v>4235.5652158829234</v>
      </c>
      <c r="D31" s="86">
        <f t="shared" ref="D31:N31" si="6">D8+D30</f>
        <v>4003.4664317658471</v>
      </c>
      <c r="E31" s="86">
        <f t="shared" si="6"/>
        <v>4356.9372476487706</v>
      </c>
      <c r="F31" s="86">
        <f t="shared" si="6"/>
        <v>4996.8839995316939</v>
      </c>
      <c r="G31" s="86">
        <f t="shared" si="6"/>
        <v>6046.4952435746163</v>
      </c>
      <c r="H31" s="86">
        <f t="shared" si="6"/>
        <v>7530.3508493071395</v>
      </c>
      <c r="I31" s="86">
        <f t="shared" si="6"/>
        <v>9321.0724706336478</v>
      </c>
      <c r="J31" s="86">
        <f t="shared" si="6"/>
        <v>11430.934748177899</v>
      </c>
      <c r="K31" s="86">
        <f t="shared" si="6"/>
        <v>13872.703308188604</v>
      </c>
      <c r="L31" s="86">
        <f t="shared" si="6"/>
        <v>16573.35876852314</v>
      </c>
      <c r="M31" s="86">
        <f t="shared" si="6"/>
        <v>19540.667736191226</v>
      </c>
      <c r="N31" s="86">
        <f t="shared" si="6"/>
        <v>21782.629816412868</v>
      </c>
      <c r="O31" s="53"/>
    </row>
    <row r="32" spans="2:15" x14ac:dyDescent="0.15">
      <c r="B32" s="47" t="s">
        <v>174</v>
      </c>
      <c r="C32" s="86">
        <f>IF(C31&lt;'4-AdditionalInputs'!$D$24, '4-AdditionalInputs'!$D$24-C31, 0)</f>
        <v>0</v>
      </c>
      <c r="D32" s="86">
        <f>IF(D31&lt;'4-AdditionalInputs'!$D$24, '4-AdditionalInputs'!$D$24-D31, 0)</f>
        <v>0</v>
      </c>
      <c r="E32" s="86">
        <f>IF(E31&lt;'4-AdditionalInputs'!$D$24, '4-AdditionalInputs'!$D$24-E31, 0)</f>
        <v>0</v>
      </c>
      <c r="F32" s="86">
        <f>IF(F31&lt;'4-AdditionalInputs'!$D$24, '4-AdditionalInputs'!$D$24-F31, 0)</f>
        <v>0</v>
      </c>
      <c r="G32" s="86">
        <f>IF(G31&lt;'4-AdditionalInputs'!$D$24, '4-AdditionalInputs'!$D$24-G31, 0)</f>
        <v>0</v>
      </c>
      <c r="H32" s="86">
        <f>IF(H31&lt;'4-AdditionalInputs'!$D$24, '4-AdditionalInputs'!$D$24-H31, 0)</f>
        <v>0</v>
      </c>
      <c r="I32" s="86">
        <f>IF(I31&lt;'4-AdditionalInputs'!$D$24, '4-AdditionalInputs'!$D$24-I31, 0)</f>
        <v>0</v>
      </c>
      <c r="J32" s="86">
        <f>IF(J31&lt;'4-AdditionalInputs'!$D$24, '4-AdditionalInputs'!$D$24-J31, 0)</f>
        <v>0</v>
      </c>
      <c r="K32" s="86">
        <f>IF(K31&lt;'4-AdditionalInputs'!$D$24, '4-AdditionalInputs'!$D$24-K31, 0)</f>
        <v>0</v>
      </c>
      <c r="L32" s="86">
        <f>IF(L31&lt;'4-AdditionalInputs'!$D$24, '4-AdditionalInputs'!$D$24-L31, 0)</f>
        <v>0</v>
      </c>
      <c r="M32" s="86">
        <f>IF(M31&lt;'4-AdditionalInputs'!$D$24, '4-AdditionalInputs'!$D$24-M31, 0)</f>
        <v>0</v>
      </c>
      <c r="N32" s="86">
        <f>IF(N31&lt;'4-AdditionalInputs'!$D$24, '4-AdditionalInputs'!$D$24-N31, 0)</f>
        <v>0</v>
      </c>
      <c r="O32" s="53">
        <f t="shared" si="3"/>
        <v>0</v>
      </c>
    </row>
    <row r="33" spans="2:15" x14ac:dyDescent="0.15">
      <c r="B33" s="47" t="s">
        <v>28</v>
      </c>
      <c r="C33" s="86">
        <f>SUM(C31+C32)</f>
        <v>4235.5652158829234</v>
      </c>
      <c r="D33" s="86">
        <f t="shared" ref="D33:N33" si="7">SUM(D31+D32)</f>
        <v>4003.4664317658471</v>
      </c>
      <c r="E33" s="86">
        <f t="shared" si="7"/>
        <v>4356.9372476487706</v>
      </c>
      <c r="F33" s="86">
        <f t="shared" si="7"/>
        <v>4996.8839995316939</v>
      </c>
      <c r="G33" s="86">
        <f t="shared" si="7"/>
        <v>6046.4952435746163</v>
      </c>
      <c r="H33" s="86">
        <f t="shared" si="7"/>
        <v>7530.3508493071395</v>
      </c>
      <c r="I33" s="86">
        <f t="shared" si="7"/>
        <v>9321.0724706336478</v>
      </c>
      <c r="J33" s="86">
        <f t="shared" si="7"/>
        <v>11430.934748177899</v>
      </c>
      <c r="K33" s="86">
        <f t="shared" si="7"/>
        <v>13872.703308188604</v>
      </c>
      <c r="L33" s="86">
        <f t="shared" si="7"/>
        <v>16573.35876852314</v>
      </c>
      <c r="M33" s="86">
        <f t="shared" si="7"/>
        <v>19540.667736191226</v>
      </c>
      <c r="N33" s="86">
        <f t="shared" si="7"/>
        <v>21782.629816412868</v>
      </c>
      <c r="O33" s="53"/>
    </row>
    <row r="34" spans="2:15" x14ac:dyDescent="0.15">
      <c r="B34" s="26" t="s">
        <v>199</v>
      </c>
      <c r="C34" s="36">
        <f>C32-C27</f>
        <v>0</v>
      </c>
      <c r="D34" s="36">
        <f>D32+C34-D27</f>
        <v>0</v>
      </c>
      <c r="E34" s="36">
        <f t="shared" ref="E34:N34" si="8">E32+D34-E27</f>
        <v>0</v>
      </c>
      <c r="F34" s="36">
        <f t="shared" si="8"/>
        <v>0</v>
      </c>
      <c r="G34" s="36">
        <f t="shared" si="8"/>
        <v>0</v>
      </c>
      <c r="H34" s="36">
        <f t="shared" si="8"/>
        <v>0</v>
      </c>
      <c r="I34" s="36">
        <f>I32+H34-I27</f>
        <v>0</v>
      </c>
      <c r="J34" s="36">
        <f t="shared" si="8"/>
        <v>0</v>
      </c>
      <c r="K34" s="36">
        <f t="shared" si="8"/>
        <v>0</v>
      </c>
      <c r="L34" s="36">
        <f t="shared" si="8"/>
        <v>0</v>
      </c>
      <c r="M34" s="36">
        <f t="shared" si="8"/>
        <v>0</v>
      </c>
      <c r="N34" s="36">
        <f t="shared" si="8"/>
        <v>0</v>
      </c>
      <c r="O34" s="53"/>
    </row>
  </sheetData>
  <sheetProtection password="CC3D" sheet="1" objects="1" scenarios="1" formatColumns="0" formatRows="0"/>
  <mergeCells count="1">
    <mergeCell ref="B2:C2"/>
  </mergeCells>
  <phoneticPr fontId="3" type="noConversion"/>
  <conditionalFormatting sqref="C17:N17">
    <cfRule type="containsBlanks" dxfId="44" priority="26" stopIfTrue="1">
      <formula>LEN(TRIM(C17))=0</formula>
    </cfRule>
  </conditionalFormatting>
  <conditionalFormatting sqref="C25:N25 C27:N28">
    <cfRule type="containsBlanks" dxfId="43" priority="27" stopIfTrue="1">
      <formula>LEN(TRIM(C25))=0</formula>
    </cfRule>
  </conditionalFormatting>
  <conditionalFormatting sqref="C32:N32">
    <cfRule type="containsBlanks" dxfId="42" priority="4">
      <formula>LEN(TRIM(C32))=0</formula>
    </cfRule>
  </conditionalFormatting>
  <conditionalFormatting sqref="C33:N33">
    <cfRule type="expression" dxfId="41" priority="10" stopIfTrue="1">
      <formula>ISERROR(C33)</formula>
    </cfRule>
  </conditionalFormatting>
  <conditionalFormatting sqref="C29:O29">
    <cfRule type="expression" dxfId="40" priority="13" stopIfTrue="1">
      <formula>ISERROR(C29)</formula>
    </cfRule>
  </conditionalFormatting>
  <conditionalFormatting sqref="D31:N32 D8:N8 C24:O24 C30:N31">
    <cfRule type="expression" dxfId="39" priority="12" stopIfTrue="1">
      <formula>ISERROR(C8)</formula>
    </cfRule>
  </conditionalFormatting>
  <conditionalFormatting sqref="O30:O34">
    <cfRule type="expression" dxfId="38" priority="8" stopIfTrue="1">
      <formula>ISERROR(O30)</formula>
    </cfRule>
  </conditionalFormatting>
  <pageMargins left="0.25" right="0.25" top="0.75" bottom="0.75" header="0.3" footer="0.3"/>
  <pageSetup scale="85" orientation="landscape" r:id="rId1"/>
  <headerFooter scaleWithDoc="0">
    <oddHeader>&amp;C&amp;"Gill Sans MT,Regular"&amp;12Cash Flow Forecast Year 1</oddHeader>
    <oddFooter>&amp;L&amp;"Gill Sans MT,Regular"&amp;12&amp;F&amp;C&amp;"Gill Sans MT,Regular"&amp;12&amp;A&amp;R&amp;"Gill Sans MT,Regular"&amp;12&amp;D &amp;T</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tabColor rgb="FFFFC95B"/>
    <pageSetUpPr autoPageBreaks="0"/>
  </sheetPr>
  <dimension ref="A1:AB33"/>
  <sheetViews>
    <sheetView zoomScale="181" zoomScaleNormal="100" zoomScalePageLayoutView="80" workbookViewId="0">
      <selection activeCell="B23" sqref="B23"/>
    </sheetView>
  </sheetViews>
  <sheetFormatPr baseColWidth="10" defaultColWidth="8.83203125" defaultRowHeight="12" x14ac:dyDescent="0.15"/>
  <cols>
    <col min="1" max="1" width="29.33203125" style="46" customWidth="1"/>
    <col min="2" max="2" width="13.83203125" style="46" customWidth="1"/>
    <col min="3" max="10" width="9.6640625" style="46" customWidth="1"/>
    <col min="11" max="11" width="10.5" style="46" customWidth="1"/>
    <col min="12" max="14" width="9.6640625" style="46" customWidth="1"/>
    <col min="15" max="15" width="12.5" style="46" bestFit="1" customWidth="1"/>
    <col min="16" max="27" width="9.6640625" style="46" customWidth="1"/>
    <col min="28" max="28" width="15.83203125" style="46" bestFit="1" customWidth="1"/>
    <col min="29" max="29" width="8.83203125" style="46" customWidth="1"/>
    <col min="30" max="16384" width="8.83203125" style="46"/>
  </cols>
  <sheetData>
    <row r="1" spans="1:28" x14ac:dyDescent="0.15">
      <c r="B1" s="192" t="s">
        <v>337</v>
      </c>
      <c r="C1" s="182"/>
      <c r="E1" s="182"/>
      <c r="F1" s="182"/>
      <c r="G1" s="182"/>
      <c r="H1" s="182"/>
      <c r="P1" s="183"/>
      <c r="Q1" s="183"/>
    </row>
    <row r="2" spans="1:28" x14ac:dyDescent="0.15">
      <c r="H2" s="148"/>
    </row>
    <row r="3" spans="1:28" ht="19.5" customHeight="1" x14ac:dyDescent="0.15">
      <c r="B3" s="75" t="s">
        <v>130</v>
      </c>
      <c r="C3" s="75" t="s">
        <v>131</v>
      </c>
      <c r="H3" s="148"/>
    </row>
    <row r="4" spans="1:28" ht="19.5" customHeight="1" x14ac:dyDescent="0.15">
      <c r="B4" s="46" t="str">
        <f>IF(ISBLANK(Directions!C10), "Owner", Directions!C10)</f>
        <v>Dave Johnson</v>
      </c>
      <c r="C4" s="46" t="str">
        <f>IF(ISBLANK(Directions!D10), "Company 1", Directions!D10)</f>
        <v>Dave's Famous Pretzels</v>
      </c>
      <c r="H4" s="148"/>
    </row>
    <row r="6" spans="1:28" ht="14" thickBot="1" x14ac:dyDescent="0.2">
      <c r="A6" s="344"/>
      <c r="B6" s="344" t="s">
        <v>206</v>
      </c>
      <c r="C6" s="344" t="str">
        <f>'3a-SalesForecastYear1'!C16</f>
        <v>January</v>
      </c>
      <c r="D6" s="344" t="str">
        <f>'3a-SalesForecastYear1'!D16</f>
        <v>February</v>
      </c>
      <c r="E6" s="344" t="str">
        <f>'3a-SalesForecastYear1'!E16</f>
        <v>March</v>
      </c>
      <c r="F6" s="344" t="str">
        <f>'3a-SalesForecastYear1'!F16</f>
        <v>April</v>
      </c>
      <c r="G6" s="344" t="str">
        <f>'3a-SalesForecastYear1'!G16</f>
        <v>May</v>
      </c>
      <c r="H6" s="344" t="str">
        <f>'3a-SalesForecastYear1'!H16</f>
        <v>June</v>
      </c>
      <c r="I6" s="344" t="str">
        <f>'3a-SalesForecastYear1'!I16</f>
        <v>July</v>
      </c>
      <c r="J6" s="344" t="str">
        <f>'3a-SalesForecastYear1'!J16</f>
        <v>August</v>
      </c>
      <c r="K6" s="344" t="str">
        <f>'3a-SalesForecastYear1'!K16</f>
        <v>September</v>
      </c>
      <c r="L6" s="344" t="str">
        <f>'3a-SalesForecastYear1'!L16</f>
        <v>October</v>
      </c>
      <c r="M6" s="344" t="str">
        <f>'3a-SalesForecastYear1'!M16</f>
        <v>November</v>
      </c>
      <c r="N6" s="344" t="str">
        <f>'3a-SalesForecastYear1'!N16</f>
        <v>December</v>
      </c>
      <c r="O6" s="344" t="s">
        <v>207</v>
      </c>
      <c r="P6" s="344" t="str">
        <f>C6</f>
        <v>January</v>
      </c>
      <c r="Q6" s="344" t="str">
        <f t="shared" ref="Q6:AA6" si="0">D6</f>
        <v>February</v>
      </c>
      <c r="R6" s="344" t="str">
        <f t="shared" si="0"/>
        <v>March</v>
      </c>
      <c r="S6" s="344" t="str">
        <f t="shared" si="0"/>
        <v>April</v>
      </c>
      <c r="T6" s="344" t="str">
        <f t="shared" si="0"/>
        <v>May</v>
      </c>
      <c r="U6" s="344" t="str">
        <f t="shared" si="0"/>
        <v>June</v>
      </c>
      <c r="V6" s="344" t="str">
        <f t="shared" si="0"/>
        <v>July</v>
      </c>
      <c r="W6" s="344" t="str">
        <f t="shared" si="0"/>
        <v>August</v>
      </c>
      <c r="X6" s="344" t="str">
        <f t="shared" si="0"/>
        <v>September</v>
      </c>
      <c r="Y6" s="344" t="str">
        <f t="shared" si="0"/>
        <v>October</v>
      </c>
      <c r="Z6" s="344" t="str">
        <f t="shared" si="0"/>
        <v>November</v>
      </c>
      <c r="AA6" s="344" t="str">
        <f t="shared" si="0"/>
        <v>December</v>
      </c>
      <c r="AB6" s="344" t="s">
        <v>208</v>
      </c>
    </row>
    <row r="7" spans="1:28" ht="13" thickTop="1" x14ac:dyDescent="0.15">
      <c r="A7" s="349" t="s">
        <v>84</v>
      </c>
      <c r="B7" s="349"/>
      <c r="C7" s="303">
        <f>Y1EndingCashBal</f>
        <v>21782.629816412868</v>
      </c>
      <c r="D7" s="350">
        <f t="shared" ref="D7:N7" si="1">C32</f>
        <v>24605.297729967842</v>
      </c>
      <c r="E7" s="350">
        <f>D32</f>
        <v>27710.858349452978</v>
      </c>
      <c r="F7" s="350">
        <f t="shared" si="1"/>
        <v>31107.798456046177</v>
      </c>
      <c r="G7" s="350">
        <f t="shared" si="1"/>
        <v>34804.859434360689</v>
      </c>
      <c r="H7" s="350">
        <f t="shared" si="1"/>
        <v>38811.044910548146</v>
      </c>
      <c r="I7" s="350">
        <f t="shared" si="1"/>
        <v>43135.628619544739</v>
      </c>
      <c r="J7" s="350">
        <f t="shared" si="1"/>
        <v>47788.162508334746</v>
      </c>
      <c r="K7" s="350">
        <f t="shared" si="1"/>
        <v>52778.485082311963</v>
      </c>
      <c r="L7" s="350">
        <f t="shared" si="1"/>
        <v>58116.730002032011</v>
      </c>
      <c r="M7" s="350">
        <f t="shared" si="1"/>
        <v>63813.33493786717</v>
      </c>
      <c r="N7" s="350">
        <f t="shared" si="1"/>
        <v>69879.050690300894</v>
      </c>
      <c r="O7" s="352"/>
      <c r="P7" s="303">
        <f>N32</f>
        <v>76324.950583831145</v>
      </c>
      <c r="Q7" s="350">
        <f>P32</f>
        <v>82048.19347736139</v>
      </c>
      <c r="R7" s="350">
        <f t="shared" ref="R7:AA7" si="2">Q32</f>
        <v>88032.496147777914</v>
      </c>
      <c r="S7" s="350">
        <f t="shared" si="2"/>
        <v>94283.07979061846</v>
      </c>
      <c r="T7" s="350">
        <f t="shared" si="2"/>
        <v>100805.27002533148</v>
      </c>
      <c r="U7" s="350">
        <f t="shared" si="2"/>
        <v>107604.49898375444</v>
      </c>
      <c r="V7" s="350">
        <f t="shared" si="2"/>
        <v>114686.30744036153</v>
      </c>
      <c r="W7" s="350">
        <f t="shared" si="2"/>
        <v>122056.34698511644</v>
      </c>
      <c r="X7" s="350">
        <f t="shared" si="2"/>
        <v>129720.38223978212</v>
      </c>
      <c r="Y7" s="350">
        <f t="shared" si="2"/>
        <v>137684.29311855679</v>
      </c>
      <c r="Z7" s="350">
        <f t="shared" si="2"/>
        <v>145954.07713392263</v>
      </c>
      <c r="AA7" s="350">
        <f t="shared" si="2"/>
        <v>154535.85174861146</v>
      </c>
      <c r="AB7" s="352"/>
    </row>
    <row r="8" spans="1:28" x14ac:dyDescent="0.15">
      <c r="A8" s="47" t="s">
        <v>21</v>
      </c>
      <c r="B8" s="47"/>
      <c r="C8" s="49"/>
      <c r="D8" s="49"/>
      <c r="E8" s="49"/>
      <c r="F8" s="49"/>
      <c r="G8" s="49"/>
      <c r="H8" s="49"/>
      <c r="I8" s="49"/>
      <c r="J8" s="49"/>
      <c r="K8" s="49"/>
      <c r="L8" s="49"/>
      <c r="M8" s="49"/>
      <c r="N8" s="49"/>
      <c r="O8" s="24"/>
      <c r="P8" s="49"/>
      <c r="Q8" s="49"/>
      <c r="R8" s="49"/>
      <c r="S8" s="49"/>
      <c r="T8" s="49"/>
      <c r="U8" s="49"/>
      <c r="V8" s="49"/>
      <c r="W8" s="49"/>
      <c r="X8" s="49"/>
      <c r="Y8" s="49"/>
      <c r="Z8" s="49"/>
      <c r="AA8" s="49"/>
      <c r="AB8" s="24"/>
    </row>
    <row r="9" spans="1:28" x14ac:dyDescent="0.15">
      <c r="A9" s="184" t="s">
        <v>124</v>
      </c>
      <c r="B9" s="193">
        <f>'6a-CashFlowYear1'!O10</f>
        <v>115209.59431415585</v>
      </c>
      <c r="C9" s="83">
        <f>('3b-SalesForecastYrs1-3'!C47*'4-AdditionalInputs'!$D$9)</f>
        <v>11842.640647361159</v>
      </c>
      <c r="D9" s="83">
        <f>('3b-SalesForecastYrs1-3'!D47*'4-AdditionalInputs'!$D$9)</f>
        <v>12197.919866781993</v>
      </c>
      <c r="E9" s="83">
        <f>('3b-SalesForecastYrs1-3'!E47*'4-AdditionalInputs'!$D$9)</f>
        <v>12563.857462785452</v>
      </c>
      <c r="F9" s="83">
        <f>('3b-SalesForecastYrs1-3'!F47*'4-AdditionalInputs'!$D$9)</f>
        <v>12940.773186669017</v>
      </c>
      <c r="G9" s="83">
        <f>('3b-SalesForecastYrs1-3'!G47*'4-AdditionalInputs'!$D$9)</f>
        <v>13328.996382269088</v>
      </c>
      <c r="H9" s="83">
        <f>('3b-SalesForecastYrs1-3'!H47*'4-AdditionalInputs'!$D$9)</f>
        <v>13728.866273737161</v>
      </c>
      <c r="I9" s="83">
        <f>('3b-SalesForecastYrs1-3'!I47*'4-AdditionalInputs'!$D$9)</f>
        <v>14140.732261949277</v>
      </c>
      <c r="J9" s="83">
        <f>('3b-SalesForecastYrs1-3'!J47*'4-AdditionalInputs'!$D$9)</f>
        <v>14564.954229807754</v>
      </c>
      <c r="K9" s="83">
        <f>('3b-SalesForecastYrs1-3'!K47*'4-AdditionalInputs'!$D$9)</f>
        <v>15001.902856701989</v>
      </c>
      <c r="L9" s="83">
        <f>('3b-SalesForecastYrs1-3'!L47*'4-AdditionalInputs'!$D$9)</f>
        <v>15451.959942403048</v>
      </c>
      <c r="M9" s="83">
        <f>('3b-SalesForecastYrs1-3'!M47*'4-AdditionalInputs'!$D$9)</f>
        <v>15915.518740675139</v>
      </c>
      <c r="N9" s="83">
        <f>('3b-SalesForecastYrs1-3'!N47*'4-AdditionalInputs'!$D$9)</f>
        <v>16392.984302895391</v>
      </c>
      <c r="O9" s="191">
        <f>SUM(C9:N9)</f>
        <v>168071.10615403648</v>
      </c>
      <c r="P9" s="83">
        <f>('3b-SalesForecastYrs1-3'!R47*'4-AdditionalInputs'!$E$9)</f>
        <v>16392.984302895391</v>
      </c>
      <c r="Q9" s="83">
        <f>('3b-SalesForecastYrs1-3'!S47*'4-AdditionalInputs'!$E$9)</f>
        <v>16720.8439889533</v>
      </c>
      <c r="R9" s="83">
        <f>('3b-SalesForecastYrs1-3'!T47*'4-AdditionalInputs'!$E$9)</f>
        <v>17055.26086873237</v>
      </c>
      <c r="S9" s="83">
        <f>('3b-SalesForecastYrs1-3'!U47*'4-AdditionalInputs'!$E$9)</f>
        <v>17396.366086107017</v>
      </c>
      <c r="T9" s="83">
        <f>('3b-SalesForecastYrs1-3'!V47*'4-AdditionalInputs'!$E$9)</f>
        <v>17744.293407829155</v>
      </c>
      <c r="U9" s="83">
        <f>('3b-SalesForecastYrs1-3'!W47*'4-AdditionalInputs'!$E$9)</f>
        <v>18099.179275985738</v>
      </c>
      <c r="V9" s="83">
        <f>('3b-SalesForecastYrs1-3'!X47*'4-AdditionalInputs'!$E$9)</f>
        <v>18461.162861505454</v>
      </c>
      <c r="W9" s="83">
        <f>('3b-SalesForecastYrs1-3'!Y47*'4-AdditionalInputs'!$E$9)</f>
        <v>18830.386118735561</v>
      </c>
      <c r="X9" s="83">
        <f>('3b-SalesForecastYrs1-3'!Z47*'4-AdditionalInputs'!$E$9)</f>
        <v>19206.99384111027</v>
      </c>
      <c r="Y9" s="83">
        <f>('3b-SalesForecastYrs1-3'!AA47*'4-AdditionalInputs'!$E$9)</f>
        <v>19591.133717932476</v>
      </c>
      <c r="Z9" s="83">
        <f>('3b-SalesForecastYrs1-3'!AB47*'4-AdditionalInputs'!$E$9)</f>
        <v>19982.956392291126</v>
      </c>
      <c r="AA9" s="83">
        <f>('3b-SalesForecastYrs1-3'!AC47*'4-AdditionalInputs'!$E$9)</f>
        <v>20382.615520136955</v>
      </c>
      <c r="AB9" s="191">
        <f>SUM(P9:AA9)</f>
        <v>219864.17638221479</v>
      </c>
    </row>
    <row r="10" spans="1:28" x14ac:dyDescent="0.15">
      <c r="A10" s="184" t="s">
        <v>228</v>
      </c>
      <c r="B10" s="193">
        <f>'6a-CashFlowYear1'!O11</f>
        <v>0</v>
      </c>
      <c r="C10" s="83">
        <f>('3a-SalesForecastYear1'!M53*'4-AdditionalInputs'!D11)+('3a-SalesForecastYear1'!N53*'4-AdditionalInputs'!D10)</f>
        <v>0</v>
      </c>
      <c r="D10" s="83">
        <f>('3a-SalesForecastYear1'!N53*'4-AdditionalInputs'!$D$11)+('3b-SalesForecastYrs1-3'!C47*'4-AdditionalInputs'!$D$10)</f>
        <v>0</v>
      </c>
      <c r="E10" s="83">
        <f>('3b-SalesForecastYrs1-3'!C47*'4-AdditionalInputs'!$D$11)+('3b-SalesForecastYrs1-3'!D47*'4-AdditionalInputs'!$D$10)</f>
        <v>0</v>
      </c>
      <c r="F10" s="83">
        <f>('3b-SalesForecastYrs1-3'!D47*'4-AdditionalInputs'!$D$11)+('3b-SalesForecastYrs1-3'!E47*'4-AdditionalInputs'!$D$10)</f>
        <v>0</v>
      </c>
      <c r="G10" s="83">
        <f>('3b-SalesForecastYrs1-3'!E47*'4-AdditionalInputs'!$D$11)+('3b-SalesForecastYrs1-3'!F47*'4-AdditionalInputs'!$D$10)</f>
        <v>0</v>
      </c>
      <c r="H10" s="83">
        <f>('3b-SalesForecastYrs1-3'!F47*'4-AdditionalInputs'!$D$11)+('3b-SalesForecastYrs1-3'!G47*'4-AdditionalInputs'!$D$10)</f>
        <v>0</v>
      </c>
      <c r="I10" s="83">
        <f>('3b-SalesForecastYrs1-3'!G47*'4-AdditionalInputs'!$D$11)+('3b-SalesForecastYrs1-3'!H47*'4-AdditionalInputs'!$D$10)</f>
        <v>0</v>
      </c>
      <c r="J10" s="83">
        <f>('3b-SalesForecastYrs1-3'!H47*'4-AdditionalInputs'!$D$11)+('3b-SalesForecastYrs1-3'!I47*'4-AdditionalInputs'!$D$10)</f>
        <v>0</v>
      </c>
      <c r="K10" s="83">
        <f>('3b-SalesForecastYrs1-3'!I47*'4-AdditionalInputs'!$D$11)+('3b-SalesForecastYrs1-3'!J47*'4-AdditionalInputs'!$D$10)</f>
        <v>0</v>
      </c>
      <c r="L10" s="83">
        <f>('3b-SalesForecastYrs1-3'!J47*'4-AdditionalInputs'!$D$11)+('3b-SalesForecastYrs1-3'!K47*'4-AdditionalInputs'!$D$10)</f>
        <v>0</v>
      </c>
      <c r="M10" s="83">
        <f>('3b-SalesForecastYrs1-3'!K47*'4-AdditionalInputs'!$D$11)+('3b-SalesForecastYrs1-3'!L47*'4-AdditionalInputs'!$D$10)</f>
        <v>0</v>
      </c>
      <c r="N10" s="83">
        <f>('3b-SalesForecastYrs1-3'!L47*'4-AdditionalInputs'!$D$11)+('3b-SalesForecastYrs1-3'!M47*'4-AdditionalInputs'!$D$10)</f>
        <v>0</v>
      </c>
      <c r="O10" s="191">
        <f>SUM(C10:N10)</f>
        <v>0</v>
      </c>
      <c r="P10" s="83">
        <f>('3b-SalesForecastYrs1-3'!M47*'4-AdditionalInputs'!E11)+('3b-SalesForecastYrs1-3'!N47*'4-AdditionalInputs'!E10)</f>
        <v>0</v>
      </c>
      <c r="Q10" s="83">
        <f>('3b-SalesForecastYrs1-3'!N47*'4-AdditionalInputs'!E11)+('3b-SalesForecastYrs1-3'!R47*'4-AdditionalInputs'!E10)</f>
        <v>0</v>
      </c>
      <c r="R10" s="83">
        <f>('3b-SalesForecastYrs1-3'!R47*'4-AdditionalInputs'!$E$11)+('3b-SalesForecastYrs1-3'!S47*'4-AdditionalInputs'!$E$10)</f>
        <v>0</v>
      </c>
      <c r="S10" s="83">
        <f>('3b-SalesForecastYrs1-3'!S47*'4-AdditionalInputs'!$E$11)+('3b-SalesForecastYrs1-3'!T47*'4-AdditionalInputs'!$E$10)</f>
        <v>0</v>
      </c>
      <c r="T10" s="83">
        <f>('3b-SalesForecastYrs1-3'!T47*'4-AdditionalInputs'!$E$11)+('3b-SalesForecastYrs1-3'!U47*'4-AdditionalInputs'!$E$10)</f>
        <v>0</v>
      </c>
      <c r="U10" s="83">
        <f>('3b-SalesForecastYrs1-3'!U47*'4-AdditionalInputs'!$E$11)+('3b-SalesForecastYrs1-3'!V47*'4-AdditionalInputs'!$E$10)</f>
        <v>0</v>
      </c>
      <c r="V10" s="83">
        <f>('3b-SalesForecastYrs1-3'!V47*'4-AdditionalInputs'!$E$11)+('3b-SalesForecastYrs1-3'!W47*'4-AdditionalInputs'!$E$10)</f>
        <v>0</v>
      </c>
      <c r="W10" s="83">
        <f>('3b-SalesForecastYrs1-3'!W47*'4-AdditionalInputs'!$E$11)+('3b-SalesForecastYrs1-3'!X47*'4-AdditionalInputs'!$E$10)</f>
        <v>0</v>
      </c>
      <c r="X10" s="83">
        <f>('3b-SalesForecastYrs1-3'!X47*'4-AdditionalInputs'!$E$11)+('3b-SalesForecastYrs1-3'!Y47*'4-AdditionalInputs'!$E$10)</f>
        <v>0</v>
      </c>
      <c r="Y10" s="83">
        <f>('3b-SalesForecastYrs1-3'!Y47*'4-AdditionalInputs'!$E$11)+('3b-SalesForecastYrs1-3'!Z47*'4-AdditionalInputs'!$E$10)</f>
        <v>0</v>
      </c>
      <c r="Z10" s="83">
        <f>('3b-SalesForecastYrs1-3'!Z47*'4-AdditionalInputs'!$E$11)+('3b-SalesForecastYrs1-3'!AA47*'4-AdditionalInputs'!$E$10)</f>
        <v>0</v>
      </c>
      <c r="AA10" s="83">
        <f>('3b-SalesForecastYrs1-3'!AA47*'4-AdditionalInputs'!$E$11)+('3b-SalesForecastYrs1-3'!AB47*'4-AdditionalInputs'!$E$10)</f>
        <v>0</v>
      </c>
      <c r="AB10" s="191">
        <f>SUM(P10:AA10)</f>
        <v>0</v>
      </c>
    </row>
    <row r="11" spans="1:28" x14ac:dyDescent="0.15">
      <c r="A11" s="26" t="s">
        <v>22</v>
      </c>
      <c r="B11" s="193">
        <f>'6a-CashFlowYear1'!O12</f>
        <v>115209.59431415585</v>
      </c>
      <c r="C11" s="86">
        <f>SUM(C9:C10)</f>
        <v>11842.640647361159</v>
      </c>
      <c r="D11" s="86">
        <f t="shared" ref="D11:O11" si="3">SUM(D9:D10)</f>
        <v>12197.919866781993</v>
      </c>
      <c r="E11" s="86">
        <f t="shared" si="3"/>
        <v>12563.857462785452</v>
      </c>
      <c r="F11" s="86">
        <f t="shared" si="3"/>
        <v>12940.773186669017</v>
      </c>
      <c r="G11" s="86">
        <f t="shared" si="3"/>
        <v>13328.996382269088</v>
      </c>
      <c r="H11" s="86">
        <f t="shared" si="3"/>
        <v>13728.866273737161</v>
      </c>
      <c r="I11" s="86">
        <f t="shared" si="3"/>
        <v>14140.732261949277</v>
      </c>
      <c r="J11" s="86">
        <f t="shared" si="3"/>
        <v>14564.954229807754</v>
      </c>
      <c r="K11" s="86">
        <f t="shared" si="3"/>
        <v>15001.902856701989</v>
      </c>
      <c r="L11" s="86">
        <f t="shared" si="3"/>
        <v>15451.959942403048</v>
      </c>
      <c r="M11" s="86">
        <f t="shared" si="3"/>
        <v>15915.518740675139</v>
      </c>
      <c r="N11" s="86">
        <f t="shared" si="3"/>
        <v>16392.984302895391</v>
      </c>
      <c r="O11" s="191">
        <f t="shared" si="3"/>
        <v>168071.10615403648</v>
      </c>
      <c r="P11" s="83">
        <f>SUM(P9:P10)</f>
        <v>16392.984302895391</v>
      </c>
      <c r="Q11" s="83">
        <f t="shared" ref="Q11:AA11" si="4">SUM(Q9:Q10)</f>
        <v>16720.8439889533</v>
      </c>
      <c r="R11" s="83">
        <f t="shared" si="4"/>
        <v>17055.26086873237</v>
      </c>
      <c r="S11" s="83">
        <f t="shared" si="4"/>
        <v>17396.366086107017</v>
      </c>
      <c r="T11" s="83">
        <f t="shared" si="4"/>
        <v>17744.293407829155</v>
      </c>
      <c r="U11" s="83">
        <f t="shared" si="4"/>
        <v>18099.179275985738</v>
      </c>
      <c r="V11" s="83">
        <f t="shared" si="4"/>
        <v>18461.162861505454</v>
      </c>
      <c r="W11" s="83">
        <f t="shared" si="4"/>
        <v>18830.386118735561</v>
      </c>
      <c r="X11" s="83">
        <f t="shared" si="4"/>
        <v>19206.99384111027</v>
      </c>
      <c r="Y11" s="83">
        <f t="shared" si="4"/>
        <v>19591.133717932476</v>
      </c>
      <c r="Z11" s="83">
        <f t="shared" si="4"/>
        <v>19982.956392291126</v>
      </c>
      <c r="AA11" s="83">
        <f t="shared" si="4"/>
        <v>20382.615520136955</v>
      </c>
      <c r="AB11" s="191">
        <f>SUM(AB9:AB10)</f>
        <v>219864.17638221479</v>
      </c>
    </row>
    <row r="12" spans="1:28" x14ac:dyDescent="0.15">
      <c r="A12" s="26"/>
      <c r="B12" s="193"/>
      <c r="C12" s="83"/>
      <c r="D12" s="186"/>
      <c r="E12" s="186"/>
      <c r="F12" s="186"/>
      <c r="G12" s="186"/>
      <c r="H12" s="186"/>
      <c r="I12" s="186"/>
      <c r="J12" s="186"/>
      <c r="K12" s="186"/>
      <c r="L12" s="186"/>
      <c r="M12" s="186"/>
      <c r="N12" s="186"/>
      <c r="O12" s="191"/>
      <c r="P12" s="83"/>
      <c r="Q12" s="186"/>
      <c r="R12" s="186"/>
      <c r="S12" s="186"/>
      <c r="T12" s="186"/>
      <c r="U12" s="186"/>
      <c r="V12" s="186"/>
      <c r="W12" s="186"/>
      <c r="X12" s="186"/>
      <c r="Y12" s="186"/>
      <c r="Z12" s="186"/>
      <c r="AA12" s="186"/>
      <c r="AB12" s="191"/>
    </row>
    <row r="13" spans="1:28" x14ac:dyDescent="0.15">
      <c r="A13" s="47" t="s">
        <v>23</v>
      </c>
      <c r="B13" s="193"/>
      <c r="C13" s="83"/>
      <c r="D13" s="186"/>
      <c r="E13" s="186"/>
      <c r="F13" s="186"/>
      <c r="G13" s="186"/>
      <c r="H13" s="186"/>
      <c r="I13" s="186"/>
      <c r="J13" s="186"/>
      <c r="K13" s="186"/>
      <c r="L13" s="186"/>
      <c r="M13" s="186"/>
      <c r="N13" s="186"/>
      <c r="O13" s="191"/>
      <c r="P13" s="83"/>
      <c r="Q13" s="186"/>
      <c r="R13" s="186"/>
      <c r="S13" s="186"/>
      <c r="T13" s="186"/>
      <c r="U13" s="186"/>
      <c r="V13" s="186"/>
      <c r="W13" s="186"/>
      <c r="X13" s="186"/>
      <c r="Y13" s="186"/>
      <c r="Z13" s="186"/>
      <c r="AA13" s="186"/>
      <c r="AB13" s="191"/>
    </row>
    <row r="14" spans="1:28" x14ac:dyDescent="0.15">
      <c r="A14" s="184" t="s">
        <v>24</v>
      </c>
      <c r="B14" s="193"/>
      <c r="C14" s="83"/>
      <c r="D14" s="186"/>
      <c r="E14" s="186"/>
      <c r="F14" s="186"/>
      <c r="G14" s="186"/>
      <c r="H14" s="186"/>
      <c r="I14" s="186"/>
      <c r="J14" s="186"/>
      <c r="K14" s="186"/>
      <c r="L14" s="186"/>
      <c r="M14" s="186"/>
      <c r="N14" s="186"/>
      <c r="O14" s="191"/>
      <c r="P14" s="83"/>
      <c r="Q14" s="186"/>
      <c r="R14" s="186"/>
      <c r="S14" s="186"/>
      <c r="T14" s="186"/>
      <c r="U14" s="186"/>
      <c r="V14" s="186"/>
      <c r="W14" s="186"/>
      <c r="X14" s="186"/>
      <c r="Y14" s="186"/>
      <c r="Z14" s="186"/>
      <c r="AA14" s="186"/>
      <c r="AB14" s="191"/>
    </row>
    <row r="15" spans="1:28" x14ac:dyDescent="0.15">
      <c r="A15" s="187" t="s">
        <v>285</v>
      </c>
      <c r="B15" s="193">
        <f>'6a-CashFlowYear1'!O16</f>
        <v>0</v>
      </c>
      <c r="C15" s="83">
        <f>'4-AdditionalInputs'!$Q$35/12</f>
        <v>0</v>
      </c>
      <c r="D15" s="83">
        <f>'4-AdditionalInputs'!$Q$35/12</f>
        <v>0</v>
      </c>
      <c r="E15" s="83">
        <f>'4-AdditionalInputs'!$Q$35/12</f>
        <v>0</v>
      </c>
      <c r="F15" s="83">
        <f>'4-AdditionalInputs'!$Q$35/12</f>
        <v>0</v>
      </c>
      <c r="G15" s="83">
        <f>'4-AdditionalInputs'!$Q$35/12</f>
        <v>0</v>
      </c>
      <c r="H15" s="83">
        <f>'4-AdditionalInputs'!$Q$35/12</f>
        <v>0</v>
      </c>
      <c r="I15" s="83">
        <f>'4-AdditionalInputs'!$Q$35/12</f>
        <v>0</v>
      </c>
      <c r="J15" s="83">
        <f>'4-AdditionalInputs'!$Q$35/12</f>
        <v>0</v>
      </c>
      <c r="K15" s="83">
        <f>'4-AdditionalInputs'!$Q$35/12</f>
        <v>0</v>
      </c>
      <c r="L15" s="83">
        <f>'4-AdditionalInputs'!$Q$35/12</f>
        <v>0</v>
      </c>
      <c r="M15" s="83">
        <f>'4-AdditionalInputs'!$Q$35/12</f>
        <v>0</v>
      </c>
      <c r="N15" s="83">
        <f>'4-AdditionalInputs'!$Q$35/12</f>
        <v>0</v>
      </c>
      <c r="O15" s="191">
        <f>SUM(C15:N15)</f>
        <v>0</v>
      </c>
      <c r="P15" s="83">
        <f>'4-AdditionalInputs'!$R$35/12</f>
        <v>0</v>
      </c>
      <c r="Q15" s="83">
        <f>'4-AdditionalInputs'!$R$35/12</f>
        <v>0</v>
      </c>
      <c r="R15" s="83">
        <f>'4-AdditionalInputs'!$R$35/12</f>
        <v>0</v>
      </c>
      <c r="S15" s="83">
        <f>'4-AdditionalInputs'!$R$35/12</f>
        <v>0</v>
      </c>
      <c r="T15" s="83">
        <f>'4-AdditionalInputs'!$R$35/12</f>
        <v>0</v>
      </c>
      <c r="U15" s="83">
        <f>'4-AdditionalInputs'!$R$35/12</f>
        <v>0</v>
      </c>
      <c r="V15" s="83">
        <f>'4-AdditionalInputs'!$R$35/12</f>
        <v>0</v>
      </c>
      <c r="W15" s="83">
        <f>'4-AdditionalInputs'!$R$35/12</f>
        <v>0</v>
      </c>
      <c r="X15" s="83">
        <f>'4-AdditionalInputs'!$R$35/12</f>
        <v>0</v>
      </c>
      <c r="Y15" s="83">
        <f>'4-AdditionalInputs'!$R$35/12</f>
        <v>0</v>
      </c>
      <c r="Z15" s="83">
        <f>'4-AdditionalInputs'!$R$35/12</f>
        <v>0</v>
      </c>
      <c r="AA15" s="83">
        <f>'4-AdditionalInputs'!$R$35/12</f>
        <v>0</v>
      </c>
      <c r="AB15" s="191">
        <f>SUM(P15:AA15)</f>
        <v>0</v>
      </c>
    </row>
    <row r="16" spans="1:28" x14ac:dyDescent="0.15">
      <c r="A16" s="187" t="s">
        <v>286</v>
      </c>
      <c r="B16" s="193">
        <f>+'6a-CashFlowYear1'!O17</f>
        <v>0</v>
      </c>
      <c r="C16" s="154"/>
      <c r="D16" s="154"/>
      <c r="E16" s="154"/>
      <c r="F16" s="154"/>
      <c r="G16" s="154"/>
      <c r="H16" s="154"/>
      <c r="I16" s="154"/>
      <c r="J16" s="154"/>
      <c r="K16" s="154"/>
      <c r="L16" s="154"/>
      <c r="M16" s="154"/>
      <c r="N16" s="154"/>
      <c r="O16" s="191">
        <f>SUM(C16:N16)</f>
        <v>0</v>
      </c>
      <c r="P16" s="154"/>
      <c r="Q16" s="154"/>
      <c r="R16" s="154"/>
      <c r="S16" s="154"/>
      <c r="T16" s="154"/>
      <c r="U16" s="154"/>
      <c r="V16" s="154"/>
      <c r="W16" s="154"/>
      <c r="X16" s="154"/>
      <c r="Y16" s="154"/>
      <c r="Z16" s="154"/>
      <c r="AA16" s="154"/>
      <c r="AB16" s="191">
        <f>SUM(P16:AA16)</f>
        <v>0</v>
      </c>
    </row>
    <row r="17" spans="1:28" x14ac:dyDescent="0.15">
      <c r="A17" s="187" t="s">
        <v>29</v>
      </c>
      <c r="B17" s="193">
        <f>'6a-CashFlowYear1'!O18</f>
        <v>23473.427088338085</v>
      </c>
      <c r="C17" s="83">
        <f>('3b-SalesForecastYrs1-3'!C48*'4-AdditionalInputs'!$D$17)+('3a-SalesForecastYear1'!N54*'4-AdditionalInputs'!$D$18)+('3a-SalesForecastYear1'!M54*'4-AdditionalInputs'!$D$19)</f>
        <v>2412.8837830224406</v>
      </c>
      <c r="D17" s="83">
        <f>('3b-SalesForecastYrs1-3'!D48*'4-AdditionalInputs'!$D$17)+('3b-SalesForecastYrs1-3'!C48*'4-AdditionalInputs'!$D$18)+('3a-SalesForecastYear1'!N54*'4-AdditionalInputs'!$D$19)</f>
        <v>2485.2702965131139</v>
      </c>
      <c r="E17" s="83">
        <f>('3b-SalesForecastYrs1-3'!E48*'4-AdditionalInputs'!$D$17)+('3b-SalesForecastYrs1-3'!D48*'4-AdditionalInputs'!$D$18)+('3b-SalesForecastYrs1-3'!C48*'4-AdditionalInputs'!$D$19)</f>
        <v>2559.8284054085075</v>
      </c>
      <c r="F17" s="83">
        <f>('3b-SalesForecastYrs1-3'!F48*'4-AdditionalInputs'!$D$17)+('3b-SalesForecastYrs1-3'!E48*'4-AdditionalInputs'!$D$18)+('3b-SalesForecastYrs1-3'!D48*'4-AdditionalInputs'!$D$19)</f>
        <v>2636.6232575707631</v>
      </c>
      <c r="G17" s="83">
        <f>('3b-SalesForecastYrs1-3'!G48*'4-AdditionalInputs'!$D$17)+('3b-SalesForecastYrs1-3'!F48*'4-AdditionalInputs'!$D$18)+('3b-SalesForecastYrs1-3'!E48*'4-AdditionalInputs'!$D$19)</f>
        <v>2715.7219552978854</v>
      </c>
      <c r="H17" s="83">
        <f>('3b-SalesForecastYrs1-3'!H48*'4-AdditionalInputs'!$D$17)+('3b-SalesForecastYrs1-3'!G48*'4-AdditionalInputs'!$D$18)+('3b-SalesForecastYrs1-3'!F48*'4-AdditionalInputs'!$D$19)</f>
        <v>2797.1936139568224</v>
      </c>
      <c r="I17" s="83">
        <f>('3b-SalesForecastYrs1-3'!I48*'4-AdditionalInputs'!$D$17)+('3b-SalesForecastYrs1-3'!H48*'4-AdditionalInputs'!$D$18)+('3b-SalesForecastYrs1-3'!G48*'4-AdditionalInputs'!$D$19)</f>
        <v>2881.1094223755272</v>
      </c>
      <c r="J17" s="83">
        <f>('3b-SalesForecastYrs1-3'!J48*'4-AdditionalInputs'!$D$17)+('3b-SalesForecastYrs1-3'!I48*'4-AdditionalInputs'!$D$18)+('3b-SalesForecastYrs1-3'!H48*'4-AdditionalInputs'!$D$19)</f>
        <v>2967.5427050467929</v>
      </c>
      <c r="K17" s="83">
        <f>('3b-SalesForecastYrs1-3'!K48*'4-AdditionalInputs'!$D$17)+('3b-SalesForecastYrs1-3'!J48*'4-AdditionalInputs'!$D$18)+('3b-SalesForecastYrs1-3'!I48*'4-AdditionalInputs'!$D$19)</f>
        <v>3056.5689861981969</v>
      </c>
      <c r="L17" s="83">
        <f>('3b-SalesForecastYrs1-3'!L48*'4-AdditionalInputs'!$D$17)+('3b-SalesForecastYrs1-3'!K48*'4-AdditionalInputs'!$D$18)+('3b-SalesForecastYrs1-3'!J48*'4-AdditionalInputs'!$D$19)</f>
        <v>3148.2660557841427</v>
      </c>
      <c r="M17" s="83">
        <f>('3b-SalesForecastYrs1-3'!M48*'4-AdditionalInputs'!$D$17)+('3b-SalesForecastYrs1-3'!L48*'4-AdditionalInputs'!$D$18)+('3b-SalesForecastYrs1-3'!K48*'4-AdditionalInputs'!$D$19)</f>
        <v>3242.714037457667</v>
      </c>
      <c r="N17" s="83">
        <f>('3b-SalesForecastYrs1-3'!N48*'4-AdditionalInputs'!$D$17)+('3b-SalesForecastYrs1-3'!M48*'4-AdditionalInputs'!$D$18)+('3b-SalesForecastYrs1-3'!L48*'4-AdditionalInputs'!$D$19)</f>
        <v>3339.9954585813966</v>
      </c>
      <c r="O17" s="191">
        <f>SUM(C17:N17)</f>
        <v>34243.717977213251</v>
      </c>
      <c r="P17" s="83">
        <f>('3b-SalesForecastYrs1-3'!R48*'4-AdditionalInputs'!$E$17)+('3b-SalesForecastYrs1-3'!N48*'4-AdditionalInputs'!$E$18)+('3b-SalesForecastYrs1-3'!M48*'4-AdditionalInputs'!$E$19)</f>
        <v>3339.9954585813966</v>
      </c>
      <c r="Q17" s="83">
        <f>('3b-SalesForecastYrs1-3'!S48*'4-AdditionalInputs'!$E$17)+('3b-SalesForecastYrs1-3'!R48*'4-AdditionalInputs'!$E$18)+('3b-SalesForecastYrs1-3'!N48*'4-AdditionalInputs'!$E$19)</f>
        <v>3406.7953677530254</v>
      </c>
      <c r="R17" s="83">
        <f>('3b-SalesForecastYrs1-3'!T48*'4-AdditionalInputs'!$E$17)+('3b-SalesForecastYrs1-3'!S48*'4-AdditionalInputs'!$E$18)+('3b-SalesForecastYrs1-3'!R48*'4-AdditionalInputs'!$E$19)</f>
        <v>3474.9312751080861</v>
      </c>
      <c r="S17" s="83">
        <f>('3b-SalesForecastYrs1-3'!U48*'4-AdditionalInputs'!$E$17)+('3b-SalesForecastYrs1-3'!T48*'4-AdditionalInputs'!$E$18)+('3b-SalesForecastYrs1-3'!S48*'4-AdditionalInputs'!$E$19)</f>
        <v>3544.4299006102474</v>
      </c>
      <c r="T17" s="83">
        <f>('3b-SalesForecastYrs1-3'!V48*'4-AdditionalInputs'!$E$17)+('3b-SalesForecastYrs1-3'!U48*'4-AdditionalInputs'!$E$18)+('3b-SalesForecastYrs1-3'!T48*'4-AdditionalInputs'!$E$19)</f>
        <v>3615.3184986224524</v>
      </c>
      <c r="U17" s="83">
        <f>('3b-SalesForecastYrs1-3'!W48*'4-AdditionalInputs'!$E$17)+('3b-SalesForecastYrs1-3'!V48*'4-AdditionalInputs'!$E$18)+('3b-SalesForecastYrs1-3'!U48*'4-AdditionalInputs'!$E$19)</f>
        <v>3687.6248685949017</v>
      </c>
      <c r="V17" s="83">
        <f>('3b-SalesForecastYrs1-3'!X48*'4-AdditionalInputs'!$E$17)+('3b-SalesForecastYrs1-3'!W48*'4-AdditionalInputs'!$E$18)+('3b-SalesForecastYrs1-3'!V48*'4-AdditionalInputs'!$E$19)</f>
        <v>3761.3773659668</v>
      </c>
      <c r="W17" s="83">
        <f>('3b-SalesForecastYrs1-3'!Y48*'4-AdditionalInputs'!$E$17)+('3b-SalesForecastYrs1-3'!X48*'4-AdditionalInputs'!$E$18)+('3b-SalesForecastYrs1-3'!W48*'4-AdditionalInputs'!$E$19)</f>
        <v>3836.6049132861353</v>
      </c>
      <c r="X17" s="83">
        <f>('3b-SalesForecastYrs1-3'!Z48*'4-AdditionalInputs'!$E$17)+('3b-SalesForecastYrs1-3'!Y48*'4-AdditionalInputs'!$E$18)+('3b-SalesForecastYrs1-3'!X48*'4-AdditionalInputs'!$E$19)</f>
        <v>3913.3370115518583</v>
      </c>
      <c r="Y17" s="83">
        <f>('3b-SalesForecastYrs1-3'!AA48*'4-AdditionalInputs'!$E$17)+('3b-SalesForecastYrs1-3'!Z48*'4-AdditionalInputs'!$E$18)+('3b-SalesForecastYrs1-3'!Y48*'4-AdditionalInputs'!$E$19)</f>
        <v>3991.603751782895</v>
      </c>
      <c r="Z17" s="83">
        <f>('3b-SalesForecastYrs1-3'!AB48*'4-AdditionalInputs'!$E$17)+('3b-SalesForecastYrs1-3'!AA48*'4-AdditionalInputs'!$E$18)+('3b-SalesForecastYrs1-3'!Z48*'4-AdditionalInputs'!$E$19)</f>
        <v>4071.4358268185529</v>
      </c>
      <c r="AA17" s="83">
        <f>('3b-SalesForecastYrs1-3'!AC48*'4-AdditionalInputs'!$E$17)+('3b-SalesForecastYrs1-3'!AB48*'4-AdditionalInputs'!$E$18)+('3b-SalesForecastYrs1-3'!AA48*'4-AdditionalInputs'!$E$19)</f>
        <v>4152.8645433549245</v>
      </c>
      <c r="AB17" s="191">
        <f t="shared" ref="AB17:AB27" si="5">SUM(P17:AA17)</f>
        <v>44796.318782031274</v>
      </c>
    </row>
    <row r="18" spans="1:28" x14ac:dyDescent="0.15">
      <c r="A18" s="184" t="s">
        <v>263</v>
      </c>
      <c r="B18" s="193"/>
      <c r="C18" s="83"/>
      <c r="D18" s="83"/>
      <c r="E18" s="83"/>
      <c r="F18" s="83"/>
      <c r="G18" s="83"/>
      <c r="H18" s="83"/>
      <c r="I18" s="83"/>
      <c r="J18" s="83"/>
      <c r="K18" s="83"/>
      <c r="L18" s="83"/>
      <c r="M18" s="83"/>
      <c r="N18" s="83"/>
      <c r="O18" s="191"/>
      <c r="P18" s="83"/>
      <c r="Q18" s="83"/>
      <c r="R18" s="83"/>
      <c r="S18" s="83"/>
      <c r="T18" s="83"/>
      <c r="U18" s="83"/>
      <c r="V18" s="83"/>
      <c r="W18" s="83"/>
      <c r="X18" s="83"/>
      <c r="Y18" s="83"/>
      <c r="Z18" s="83"/>
      <c r="AA18" s="83"/>
      <c r="AB18" s="191"/>
    </row>
    <row r="19" spans="1:28" x14ac:dyDescent="0.15">
      <c r="A19" s="187" t="s">
        <v>135</v>
      </c>
      <c r="B19" s="193">
        <f>'6a-CashFlowYear1'!O20</f>
        <v>3700</v>
      </c>
      <c r="C19" s="83">
        <f>SUM('5b-OpExYrs1-3'!$E8:$E22)/12</f>
        <v>319.25</v>
      </c>
      <c r="D19" s="83">
        <f>SUM('5b-OpExYrs1-3'!$E8:$E22)/12</f>
        <v>319.25</v>
      </c>
      <c r="E19" s="83">
        <f>SUM('5b-OpExYrs1-3'!$E8:$E22)/12</f>
        <v>319.25</v>
      </c>
      <c r="F19" s="83">
        <f>SUM('5b-OpExYrs1-3'!$E8:$E22)/12</f>
        <v>319.25</v>
      </c>
      <c r="G19" s="83">
        <f>SUM('5b-OpExYrs1-3'!$E8:$E22)/12</f>
        <v>319.25</v>
      </c>
      <c r="H19" s="83">
        <f>SUM('5b-OpExYrs1-3'!$E8:$E22)/12</f>
        <v>319.25</v>
      </c>
      <c r="I19" s="83">
        <f>SUM('5b-OpExYrs1-3'!$E8:$E22)/12</f>
        <v>319.25</v>
      </c>
      <c r="J19" s="83">
        <f>SUM('5b-OpExYrs1-3'!$E8:$E22)/12</f>
        <v>319.25</v>
      </c>
      <c r="K19" s="83">
        <f>SUM('5b-OpExYrs1-3'!$E8:$E22)/12</f>
        <v>319.25</v>
      </c>
      <c r="L19" s="83">
        <f>SUM('5b-OpExYrs1-3'!$E8:$E22)/12</f>
        <v>319.25</v>
      </c>
      <c r="M19" s="83">
        <f>SUM('5b-OpExYrs1-3'!$E8:$E22)/12</f>
        <v>319.25</v>
      </c>
      <c r="N19" s="83">
        <f>SUM('5b-OpExYrs1-3'!$E8:$E22)/12</f>
        <v>319.25</v>
      </c>
      <c r="O19" s="191">
        <f>SUM(C19:N19)</f>
        <v>3831</v>
      </c>
      <c r="P19" s="83">
        <f>SUM('5b-OpExYrs1-3'!$G8:$G22)/12</f>
        <v>330.57749999999999</v>
      </c>
      <c r="Q19" s="83">
        <f>SUM('5b-OpExYrs1-3'!$G8:$G22)/12</f>
        <v>330.57749999999999</v>
      </c>
      <c r="R19" s="83">
        <f>SUM('5b-OpExYrs1-3'!$G8:$G22)/12</f>
        <v>330.57749999999999</v>
      </c>
      <c r="S19" s="83">
        <f>SUM('5b-OpExYrs1-3'!$G8:$G22)/12</f>
        <v>330.57749999999999</v>
      </c>
      <c r="T19" s="83">
        <f>SUM('5b-OpExYrs1-3'!$G8:$G22)/12</f>
        <v>330.57749999999999</v>
      </c>
      <c r="U19" s="83">
        <f>SUM('5b-OpExYrs1-3'!$G8:$G22)/12</f>
        <v>330.57749999999999</v>
      </c>
      <c r="V19" s="83">
        <f>SUM('5b-OpExYrs1-3'!$G8:$G22)/12</f>
        <v>330.57749999999999</v>
      </c>
      <c r="W19" s="83">
        <f>SUM('5b-OpExYrs1-3'!$G8:$G22)/12</f>
        <v>330.57749999999999</v>
      </c>
      <c r="X19" s="83">
        <f>SUM('5b-OpExYrs1-3'!$G8:$G22)/12</f>
        <v>330.57749999999999</v>
      </c>
      <c r="Y19" s="83">
        <f>SUM('5b-OpExYrs1-3'!$G8:$G22)/12</f>
        <v>330.57749999999999</v>
      </c>
      <c r="Z19" s="83">
        <f>SUM('5b-OpExYrs1-3'!$G8:$G22)/12</f>
        <v>330.57749999999999</v>
      </c>
      <c r="AA19" s="83">
        <f>SUM('5b-OpExYrs1-3'!$G8:$G22)/12</f>
        <v>330.57749999999999</v>
      </c>
      <c r="AB19" s="191">
        <f t="shared" si="5"/>
        <v>3966.9299999999989</v>
      </c>
    </row>
    <row r="20" spans="1:28" x14ac:dyDescent="0.15">
      <c r="A20" s="187" t="s">
        <v>211</v>
      </c>
      <c r="B20" s="193">
        <f>'6a-CashFlowYear1'!O21</f>
        <v>24252.649999999994</v>
      </c>
      <c r="C20" s="83">
        <f>'2b-PayrollYrs1-3'!$E$26/12</f>
        <v>2371.0983333333334</v>
      </c>
      <c r="D20" s="83">
        <f>'2b-PayrollYrs1-3'!$E$26/12</f>
        <v>2371.0983333333334</v>
      </c>
      <c r="E20" s="83">
        <f>'2b-PayrollYrs1-3'!$E$26/12</f>
        <v>2371.0983333333334</v>
      </c>
      <c r="F20" s="83">
        <f>'2b-PayrollYrs1-3'!$E$26/12</f>
        <v>2371.0983333333334</v>
      </c>
      <c r="G20" s="83">
        <f>'2b-PayrollYrs1-3'!$E$26/12</f>
        <v>2371.0983333333334</v>
      </c>
      <c r="H20" s="83">
        <f>'2b-PayrollYrs1-3'!$E$26/12</f>
        <v>2371.0983333333334</v>
      </c>
      <c r="I20" s="83">
        <f>'2b-PayrollYrs1-3'!$E$26/12</f>
        <v>2371.0983333333334</v>
      </c>
      <c r="J20" s="83">
        <f>'2b-PayrollYrs1-3'!$E$26/12</f>
        <v>2371.0983333333334</v>
      </c>
      <c r="K20" s="83">
        <f>'2b-PayrollYrs1-3'!$E$26/12</f>
        <v>2371.0983333333334</v>
      </c>
      <c r="L20" s="83">
        <f>'2b-PayrollYrs1-3'!$E$26/12</f>
        <v>2371.0983333333334</v>
      </c>
      <c r="M20" s="83">
        <f>'2b-PayrollYrs1-3'!$E$26/12</f>
        <v>2371.0983333333334</v>
      </c>
      <c r="N20" s="83">
        <f>'2b-PayrollYrs1-3'!$E$26/12</f>
        <v>2371.0983333333334</v>
      </c>
      <c r="O20" s="191">
        <f>SUM(C20:N20)</f>
        <v>28453.180000000008</v>
      </c>
      <c r="P20" s="83">
        <f>'2b-PayrollYrs1-3'!$G$26/12</f>
        <v>3082.4278333333332</v>
      </c>
      <c r="Q20" s="83">
        <f>'2b-PayrollYrs1-3'!$G$26/12</f>
        <v>3082.4278333333332</v>
      </c>
      <c r="R20" s="83">
        <f>'2b-PayrollYrs1-3'!$G$26/12</f>
        <v>3082.4278333333332</v>
      </c>
      <c r="S20" s="83">
        <f>'2b-PayrollYrs1-3'!$G$26/12</f>
        <v>3082.4278333333332</v>
      </c>
      <c r="T20" s="83">
        <f>'2b-PayrollYrs1-3'!$G$26/12</f>
        <v>3082.4278333333332</v>
      </c>
      <c r="U20" s="83">
        <f>'2b-PayrollYrs1-3'!$G$26/12</f>
        <v>3082.4278333333332</v>
      </c>
      <c r="V20" s="83">
        <f>'2b-PayrollYrs1-3'!$G$26/12</f>
        <v>3082.4278333333332</v>
      </c>
      <c r="W20" s="83">
        <f>'2b-PayrollYrs1-3'!$G$26/12</f>
        <v>3082.4278333333332</v>
      </c>
      <c r="X20" s="83">
        <f>'2b-PayrollYrs1-3'!$G$26/12</f>
        <v>3082.4278333333332</v>
      </c>
      <c r="Y20" s="83">
        <f>'2b-PayrollYrs1-3'!$G$26/12</f>
        <v>3082.4278333333332</v>
      </c>
      <c r="Z20" s="83">
        <f>'2b-PayrollYrs1-3'!$G$26/12</f>
        <v>3082.4278333333332</v>
      </c>
      <c r="AA20" s="83">
        <f>'2b-PayrollYrs1-3'!$G$26/12</f>
        <v>3082.4278333333332</v>
      </c>
      <c r="AB20" s="191">
        <f t="shared" si="5"/>
        <v>36989.134000000005</v>
      </c>
    </row>
    <row r="21" spans="1:28" x14ac:dyDescent="0.15">
      <c r="A21" s="187" t="s">
        <v>160</v>
      </c>
      <c r="B21" s="193">
        <f>'6a-CashFlowYear1'!O22</f>
        <v>0</v>
      </c>
      <c r="C21" s="83">
        <v>0</v>
      </c>
      <c r="D21" s="83">
        <v>0</v>
      </c>
      <c r="E21" s="83">
        <f>SUM('7b-IncomeStatementYrs1-3'!C65:E65)</f>
        <v>0</v>
      </c>
      <c r="F21" s="83">
        <v>0</v>
      </c>
      <c r="G21" s="83">
        <v>0</v>
      </c>
      <c r="H21" s="83">
        <f>SUM('7b-IncomeStatementYrs1-3'!F65:H65)</f>
        <v>0</v>
      </c>
      <c r="I21" s="83">
        <v>0</v>
      </c>
      <c r="J21" s="83">
        <v>0</v>
      </c>
      <c r="K21" s="83">
        <f>SUM('7b-IncomeStatementYrs1-3'!I65:K65)</f>
        <v>0</v>
      </c>
      <c r="L21" s="83">
        <v>0</v>
      </c>
      <c r="M21" s="83">
        <v>0</v>
      </c>
      <c r="N21" s="83">
        <f>SUM('7b-IncomeStatementYrs1-3'!L65:N65)</f>
        <v>0</v>
      </c>
      <c r="O21" s="191"/>
      <c r="P21" s="83">
        <v>0</v>
      </c>
      <c r="Q21" s="83">
        <v>0</v>
      </c>
      <c r="R21" s="83">
        <f>SUM('7b-IncomeStatementYrs1-3'!C69:E69)</f>
        <v>0</v>
      </c>
      <c r="S21" s="83">
        <v>0</v>
      </c>
      <c r="T21" s="83">
        <v>0</v>
      </c>
      <c r="U21" s="83">
        <f>SUM('7b-IncomeStatementYrs1-3'!F69:H69)</f>
        <v>0</v>
      </c>
      <c r="V21" s="83">
        <v>0</v>
      </c>
      <c r="W21" s="83">
        <v>0</v>
      </c>
      <c r="X21" s="83">
        <f>SUM('7b-IncomeStatementYrs1-3'!I69:K69)</f>
        <v>0</v>
      </c>
      <c r="Y21" s="83">
        <v>0</v>
      </c>
      <c r="Z21" s="83">
        <v>0</v>
      </c>
      <c r="AA21" s="83">
        <f>SUM('7b-IncomeStatementYrs1-3'!L69:N69)</f>
        <v>0</v>
      </c>
      <c r="AB21" s="191">
        <f t="shared" si="5"/>
        <v>0</v>
      </c>
    </row>
    <row r="22" spans="1:28" x14ac:dyDescent="0.15">
      <c r="A22" s="184" t="s">
        <v>25</v>
      </c>
      <c r="B22" s="193"/>
      <c r="C22" s="83"/>
      <c r="D22" s="186"/>
      <c r="E22" s="186"/>
      <c r="F22" s="186"/>
      <c r="G22" s="186"/>
      <c r="H22" s="186"/>
      <c r="I22" s="186"/>
      <c r="J22" s="186"/>
      <c r="K22" s="186"/>
      <c r="L22" s="186"/>
      <c r="M22" s="186"/>
      <c r="N22" s="186"/>
      <c r="O22" s="191"/>
      <c r="P22" s="83"/>
      <c r="Q22" s="186"/>
      <c r="R22" s="186"/>
      <c r="S22" s="186"/>
      <c r="T22" s="186"/>
      <c r="U22" s="186"/>
      <c r="V22" s="186"/>
      <c r="W22" s="186"/>
      <c r="X22" s="186"/>
      <c r="Y22" s="186"/>
      <c r="Z22" s="186"/>
      <c r="AA22" s="186"/>
      <c r="AB22" s="191"/>
    </row>
    <row r="23" spans="1:28" x14ac:dyDescent="0.15">
      <c r="A23" s="190" t="s">
        <v>26</v>
      </c>
      <c r="B23" s="193">
        <f>'6a-CashFlowYear1'!O24</f>
        <v>47000.88740940491</v>
      </c>
      <c r="C23" s="186">
        <f>SUM('Amortization&amp;Depreciation'!C19:C20)+SUM('Amortization&amp;Depreciation'!C39:C40)+SUM('Amortization&amp;Depreciation'!C59:C60)+SUM('Amortization&amp;Depreciation'!C79:C80)+SUM('Amortization&amp;Depreciation'!C99:C100)</f>
        <v>3916.7406174504104</v>
      </c>
      <c r="D23" s="186">
        <f>SUM('Amortization&amp;Depreciation'!D19:D20)+SUM('Amortization&amp;Depreciation'!D39:D40)+SUM('Amortization&amp;Depreciation'!D59:D60)+SUM('Amortization&amp;Depreciation'!D79:D80)+SUM('Amortization&amp;Depreciation'!D99:D100)</f>
        <v>3916.7406174504104</v>
      </c>
      <c r="E23" s="186">
        <f>SUM('Amortization&amp;Depreciation'!E19:E20)+SUM('Amortization&amp;Depreciation'!E39:E40)+SUM('Amortization&amp;Depreciation'!E59:E60)+SUM('Amortization&amp;Depreciation'!E79:E80)+SUM('Amortization&amp;Depreciation'!E99:E100)</f>
        <v>3916.7406174504099</v>
      </c>
      <c r="F23" s="186">
        <f>SUM('Amortization&amp;Depreciation'!F19:F20)+SUM('Amortization&amp;Depreciation'!F39:F40)+SUM('Amortization&amp;Depreciation'!F59:F60)+SUM('Amortization&amp;Depreciation'!F79:F80)+SUM('Amortization&amp;Depreciation'!F99:F100)</f>
        <v>3916.7406174504094</v>
      </c>
      <c r="G23" s="186">
        <f>SUM('Amortization&amp;Depreciation'!G19:G20)+SUM('Amortization&amp;Depreciation'!G39:G40)+SUM('Amortization&amp;Depreciation'!G59:G60)+SUM('Amortization&amp;Depreciation'!G79:G80)+SUM('Amortization&amp;Depreciation'!G99:G100)</f>
        <v>3916.7406174504104</v>
      </c>
      <c r="H23" s="186">
        <f>SUM('Amortization&amp;Depreciation'!H19:H20)+SUM('Amortization&amp;Depreciation'!H39:H40)+SUM('Amortization&amp;Depreciation'!H59:H60)+SUM('Amortization&amp;Depreciation'!H79:H80)+SUM('Amortization&amp;Depreciation'!H99:H100)</f>
        <v>3916.7406174504104</v>
      </c>
      <c r="I23" s="186">
        <f>SUM('Amortization&amp;Depreciation'!I19:I20)+SUM('Amortization&amp;Depreciation'!I39:I40)+SUM('Amortization&amp;Depreciation'!I59:I60)+SUM('Amortization&amp;Depreciation'!I79:I80)+SUM('Amortization&amp;Depreciation'!I99:I100)</f>
        <v>3916.7406174504104</v>
      </c>
      <c r="J23" s="186">
        <f>SUM('Amortization&amp;Depreciation'!J19:J20)+SUM('Amortization&amp;Depreciation'!J39:J40)+SUM('Amortization&amp;Depreciation'!J59:J60)+SUM('Amortization&amp;Depreciation'!J79:J80)+SUM('Amortization&amp;Depreciation'!J99:J100)</f>
        <v>3916.7406174504099</v>
      </c>
      <c r="K23" s="186">
        <f>SUM('Amortization&amp;Depreciation'!K19:K20)+SUM('Amortization&amp;Depreciation'!K39:K40)+SUM('Amortization&amp;Depreciation'!K59:K60)+SUM('Amortization&amp;Depreciation'!K79:K80)+SUM('Amortization&amp;Depreciation'!K99:K100)</f>
        <v>3916.7406174504104</v>
      </c>
      <c r="L23" s="186">
        <f>SUM('Amortization&amp;Depreciation'!L19:L20)+SUM('Amortization&amp;Depreciation'!L39:L40)+SUM('Amortization&amp;Depreciation'!L59:L60)+SUM('Amortization&amp;Depreciation'!L79:L80)+SUM('Amortization&amp;Depreciation'!L99:L100)</f>
        <v>3916.7406174504104</v>
      </c>
      <c r="M23" s="186">
        <f>SUM('Amortization&amp;Depreciation'!M19:M20)+SUM('Amortization&amp;Depreciation'!M39:M40)+SUM('Amortization&amp;Depreciation'!M59:M60)+SUM('Amortization&amp;Depreciation'!M79:M80)+SUM('Amortization&amp;Depreciation'!M99:M100)</f>
        <v>3916.7406174504104</v>
      </c>
      <c r="N23" s="186">
        <f>SUM('Amortization&amp;Depreciation'!N19:N20)+SUM('Amortization&amp;Depreciation'!N39:N40)+SUM('Amortization&amp;Depreciation'!N59:N60)+SUM('Amortization&amp;Depreciation'!N79:N80)+SUM('Amortization&amp;Depreciation'!N99:N100)</f>
        <v>3916.7406174504104</v>
      </c>
      <c r="O23" s="191">
        <f>SUM(C23:N23)</f>
        <v>47000.887409404939</v>
      </c>
      <c r="P23" s="186">
        <f>SUM('Amortization&amp;Depreciation'!C23:C24)+SUM('Amortization&amp;Depreciation'!C43:C44)+SUM('Amortization&amp;Depreciation'!C63:C64)+SUM('Amortization&amp;Depreciation'!C83:C84)+SUM('Amortization&amp;Depreciation'!C103:C104)</f>
        <v>3916.7406174504104</v>
      </c>
      <c r="Q23" s="186">
        <f>SUM('Amortization&amp;Depreciation'!D23:D24)+SUM('Amortization&amp;Depreciation'!D43:D44)+SUM('Amortization&amp;Depreciation'!D63:D64)+SUM('Amortization&amp;Depreciation'!D83:D84)+SUM('Amortization&amp;Depreciation'!D103:D104)</f>
        <v>3916.7406174504094</v>
      </c>
      <c r="R23" s="186">
        <f>SUM('Amortization&amp;Depreciation'!E23:E24)+SUM('Amortization&amp;Depreciation'!E43:E44)+SUM('Amortization&amp;Depreciation'!E63:E64)+SUM('Amortization&amp;Depreciation'!E83:E84)+SUM('Amortization&amp;Depreciation'!E103:E104)</f>
        <v>3916.7406174504104</v>
      </c>
      <c r="S23" s="186">
        <f>SUM('Amortization&amp;Depreciation'!F23:F24)+SUM('Amortization&amp;Depreciation'!F43:F44)+SUM('Amortization&amp;Depreciation'!F63:F64)+SUM('Amortization&amp;Depreciation'!F83:F84)+SUM('Amortization&amp;Depreciation'!F103:F104)</f>
        <v>3916.7406174504099</v>
      </c>
      <c r="T23" s="186">
        <f>SUM('Amortization&amp;Depreciation'!G23:G24)+SUM('Amortization&amp;Depreciation'!G43:G44)+SUM('Amortization&amp;Depreciation'!G63:G64)+SUM('Amortization&amp;Depreciation'!G83:G84)+SUM('Amortization&amp;Depreciation'!G103:G104)</f>
        <v>3916.7406174504104</v>
      </c>
      <c r="U23" s="186">
        <f>SUM('Amortization&amp;Depreciation'!H23:H24)+SUM('Amortization&amp;Depreciation'!H43:H44)+SUM('Amortization&amp;Depreciation'!H63:H64)+SUM('Amortization&amp;Depreciation'!H83:H84)+SUM('Amortization&amp;Depreciation'!H103:H104)</f>
        <v>3916.7406174504099</v>
      </c>
      <c r="V23" s="186">
        <f>SUM('Amortization&amp;Depreciation'!I23:I24)+SUM('Amortization&amp;Depreciation'!I43:I44)+SUM('Amortization&amp;Depreciation'!I63:I64)+SUM('Amortization&amp;Depreciation'!I83:I84)+SUM('Amortization&amp;Depreciation'!I103:I104)</f>
        <v>3916.7406174504104</v>
      </c>
      <c r="W23" s="186">
        <f>SUM('Amortization&amp;Depreciation'!J23:J24)+SUM('Amortization&amp;Depreciation'!J43:J44)+SUM('Amortization&amp;Depreciation'!J63:J64)+SUM('Amortization&amp;Depreciation'!J83:J84)+SUM('Amortization&amp;Depreciation'!J103:J104)</f>
        <v>3916.7406174504104</v>
      </c>
      <c r="X23" s="186">
        <f>SUM('Amortization&amp;Depreciation'!K23:K24)+SUM('Amortization&amp;Depreciation'!K43:K44)+SUM('Amortization&amp;Depreciation'!K63:K64)+SUM('Amortization&amp;Depreciation'!K83:K84)+SUM('Amortization&amp;Depreciation'!K103:K104)</f>
        <v>3916.7406174504104</v>
      </c>
      <c r="Y23" s="186">
        <f>SUM('Amortization&amp;Depreciation'!L23:L24)+SUM('Amortization&amp;Depreciation'!L43:L44)+SUM('Amortization&amp;Depreciation'!L63:L64)+SUM('Amortization&amp;Depreciation'!L83:L84)+SUM('Amortization&amp;Depreciation'!L103:L104)</f>
        <v>3916.7406174504104</v>
      </c>
      <c r="Z23" s="186">
        <f>SUM('Amortization&amp;Depreciation'!M23:M24)+SUM('Amortization&amp;Depreciation'!M43:M44)+SUM('Amortization&amp;Depreciation'!M63:M64)+SUM('Amortization&amp;Depreciation'!M83:M84)+SUM('Amortization&amp;Depreciation'!M103:M104)</f>
        <v>3916.7406174504104</v>
      </c>
      <c r="AA23" s="186">
        <f>SUM('Amortization&amp;Depreciation'!N23:N24)+SUM('Amortization&amp;Depreciation'!N43:N44)+SUM('Amortization&amp;Depreciation'!N63:N64)+SUM('Amortization&amp;Depreciation'!N83:N84)+SUM('Amortization&amp;Depreciation'!N103:N104)</f>
        <v>3916.7406174504099</v>
      </c>
      <c r="AB23" s="191">
        <f t="shared" si="5"/>
        <v>47000.887409404932</v>
      </c>
    </row>
    <row r="24" spans="1:28" x14ac:dyDescent="0.15">
      <c r="A24" s="190" t="s">
        <v>30</v>
      </c>
      <c r="B24" s="193">
        <f>'6a-CashFlowYear1'!O25</f>
        <v>0</v>
      </c>
      <c r="C24" s="154"/>
      <c r="D24" s="154"/>
      <c r="E24" s="154"/>
      <c r="F24" s="154"/>
      <c r="G24" s="154"/>
      <c r="H24" s="154"/>
      <c r="I24" s="154"/>
      <c r="J24" s="154"/>
      <c r="K24" s="154"/>
      <c r="L24" s="154"/>
      <c r="M24" s="154"/>
      <c r="N24" s="154"/>
      <c r="O24" s="191">
        <f>SUM(C24:N24)</f>
        <v>0</v>
      </c>
      <c r="P24" s="154"/>
      <c r="Q24" s="154"/>
      <c r="R24" s="154"/>
      <c r="S24" s="154"/>
      <c r="T24" s="154"/>
      <c r="U24" s="154"/>
      <c r="V24" s="154"/>
      <c r="W24" s="154"/>
      <c r="X24" s="154"/>
      <c r="Y24" s="154"/>
      <c r="Z24" s="154"/>
      <c r="AA24" s="154"/>
      <c r="AB24" s="191">
        <f t="shared" si="5"/>
        <v>0</v>
      </c>
    </row>
    <row r="25" spans="1:28" x14ac:dyDescent="0.15">
      <c r="A25" s="190" t="s">
        <v>200</v>
      </c>
      <c r="B25" s="193">
        <f>'6a-CashFlowYear1'!O26</f>
        <v>0</v>
      </c>
      <c r="C25" s="83">
        <f>'6a-CashFlowYear1'!N34*'4-AdditionalInputs'!$D$25/12</f>
        <v>0</v>
      </c>
      <c r="D25" s="83">
        <f>C33*'4-AdditionalInputs'!$D$25/12</f>
        <v>0</v>
      </c>
      <c r="E25" s="83">
        <f>D33*'4-AdditionalInputs'!$D$25/12</f>
        <v>0</v>
      </c>
      <c r="F25" s="83">
        <f>E33*'4-AdditionalInputs'!$D$25/12</f>
        <v>0</v>
      </c>
      <c r="G25" s="83">
        <f>F33*'4-AdditionalInputs'!$D$25/12</f>
        <v>0</v>
      </c>
      <c r="H25" s="83">
        <f>G33*'4-AdditionalInputs'!$D$25/12</f>
        <v>0</v>
      </c>
      <c r="I25" s="83">
        <f>H33*'4-AdditionalInputs'!$D$25/12</f>
        <v>0</v>
      </c>
      <c r="J25" s="83">
        <f>I33*'4-AdditionalInputs'!$D$25/12</f>
        <v>0</v>
      </c>
      <c r="K25" s="83">
        <f>J33*'4-AdditionalInputs'!$D$25/12</f>
        <v>0</v>
      </c>
      <c r="L25" s="83">
        <f>K33*'4-AdditionalInputs'!$D$25/12</f>
        <v>0</v>
      </c>
      <c r="M25" s="83">
        <f>L33*'4-AdditionalInputs'!$D$25/12</f>
        <v>0</v>
      </c>
      <c r="N25" s="83">
        <f>M33*'4-AdditionalInputs'!$D$25/12</f>
        <v>0</v>
      </c>
      <c r="O25" s="191">
        <f>SUM(C25:N25)</f>
        <v>0</v>
      </c>
      <c r="P25" s="83">
        <f>N33*'4-AdditionalInputs'!$D$25/12</f>
        <v>0</v>
      </c>
      <c r="Q25" s="83">
        <f>P33*'4-AdditionalInputs'!$D$25/12</f>
        <v>0</v>
      </c>
      <c r="R25" s="83">
        <f>Q33*'4-AdditionalInputs'!$D$25/12</f>
        <v>0</v>
      </c>
      <c r="S25" s="83">
        <f>R33*'4-AdditionalInputs'!$D$25/12</f>
        <v>0</v>
      </c>
      <c r="T25" s="83">
        <f>S33*'4-AdditionalInputs'!$D$25/12</f>
        <v>0</v>
      </c>
      <c r="U25" s="83">
        <f>T33*'4-AdditionalInputs'!$D$25/12</f>
        <v>0</v>
      </c>
      <c r="V25" s="83">
        <f>U33*'4-AdditionalInputs'!$D$25/12</f>
        <v>0</v>
      </c>
      <c r="W25" s="83">
        <f>V33*'4-AdditionalInputs'!$D$25/12</f>
        <v>0</v>
      </c>
      <c r="X25" s="83">
        <f>W33*'4-AdditionalInputs'!$D$25/12</f>
        <v>0</v>
      </c>
      <c r="Y25" s="83">
        <f>X33*'4-AdditionalInputs'!$D$25/12</f>
        <v>0</v>
      </c>
      <c r="Z25" s="83">
        <f>Y33*'4-AdditionalInputs'!$D$25/12</f>
        <v>0</v>
      </c>
      <c r="AA25" s="83">
        <f>Z33*'4-AdditionalInputs'!$D$25/12</f>
        <v>0</v>
      </c>
      <c r="AB25" s="191">
        <f t="shared" si="5"/>
        <v>0</v>
      </c>
    </row>
    <row r="26" spans="1:28" x14ac:dyDescent="0.15">
      <c r="A26" s="190" t="s">
        <v>201</v>
      </c>
      <c r="B26" s="193">
        <f>'6a-CashFlowYear1'!O27</f>
        <v>0</v>
      </c>
      <c r="C26" s="154"/>
      <c r="D26" s="154"/>
      <c r="E26" s="154"/>
      <c r="F26" s="154"/>
      <c r="G26" s="154"/>
      <c r="H26" s="154"/>
      <c r="I26" s="154"/>
      <c r="J26" s="154"/>
      <c r="K26" s="154"/>
      <c r="L26" s="154"/>
      <c r="M26" s="154"/>
      <c r="N26" s="154"/>
      <c r="O26" s="191">
        <f>SUM(C26:N26)</f>
        <v>0</v>
      </c>
      <c r="P26" s="154"/>
      <c r="Q26" s="154"/>
      <c r="R26" s="154"/>
      <c r="S26" s="154"/>
      <c r="T26" s="154"/>
      <c r="U26" s="154"/>
      <c r="V26" s="154"/>
      <c r="W26" s="154"/>
      <c r="X26" s="154"/>
      <c r="Y26" s="154"/>
      <c r="Z26" s="154"/>
      <c r="AA26" s="154"/>
      <c r="AB26" s="191">
        <f t="shared" si="5"/>
        <v>0</v>
      </c>
    </row>
    <row r="27" spans="1:28" x14ac:dyDescent="0.15">
      <c r="A27" s="190" t="s">
        <v>265</v>
      </c>
      <c r="B27" s="193">
        <f>'6a-CashFlowYear1'!O28</f>
        <v>0</v>
      </c>
      <c r="C27" s="154"/>
      <c r="D27" s="154"/>
      <c r="E27" s="154"/>
      <c r="F27" s="154"/>
      <c r="G27" s="154"/>
      <c r="H27" s="154"/>
      <c r="I27" s="154"/>
      <c r="J27" s="154"/>
      <c r="K27" s="154"/>
      <c r="L27" s="154"/>
      <c r="M27" s="154"/>
      <c r="N27" s="154"/>
      <c r="O27" s="191">
        <f>SUM(C27:N27)</f>
        <v>0</v>
      </c>
      <c r="P27" s="154"/>
      <c r="Q27" s="154"/>
      <c r="R27" s="154"/>
      <c r="S27" s="154"/>
      <c r="T27" s="154"/>
      <c r="U27" s="154"/>
      <c r="V27" s="154"/>
      <c r="W27" s="154"/>
      <c r="X27" s="154"/>
      <c r="Y27" s="154"/>
      <c r="Z27" s="154"/>
      <c r="AA27" s="154"/>
      <c r="AB27" s="191">
        <f t="shared" si="5"/>
        <v>0</v>
      </c>
    </row>
    <row r="28" spans="1:28" x14ac:dyDescent="0.15">
      <c r="A28" s="188" t="s">
        <v>27</v>
      </c>
      <c r="B28" s="193">
        <f>'6a-CashFlowYear1'!O29</f>
        <v>98426.964497742985</v>
      </c>
      <c r="C28" s="189">
        <f t="shared" ref="C28:AA28" si="6">SUM(C15:C27)</f>
        <v>9019.9727338061839</v>
      </c>
      <c r="D28" s="189">
        <f t="shared" si="6"/>
        <v>9092.3592472968576</v>
      </c>
      <c r="E28" s="189">
        <f t="shared" si="6"/>
        <v>9166.9173561922507</v>
      </c>
      <c r="F28" s="189">
        <f t="shared" si="6"/>
        <v>9243.7122083545073</v>
      </c>
      <c r="G28" s="189">
        <f t="shared" si="6"/>
        <v>9322.8109060816296</v>
      </c>
      <c r="H28" s="189">
        <f t="shared" si="6"/>
        <v>9404.2825647405662</v>
      </c>
      <c r="I28" s="189">
        <f t="shared" si="6"/>
        <v>9488.19837315927</v>
      </c>
      <c r="J28" s="189">
        <f t="shared" si="6"/>
        <v>9574.6316558305371</v>
      </c>
      <c r="K28" s="189">
        <f t="shared" si="6"/>
        <v>9663.657936981941</v>
      </c>
      <c r="L28" s="189">
        <f t="shared" si="6"/>
        <v>9755.3550065678864</v>
      </c>
      <c r="M28" s="189">
        <f t="shared" si="6"/>
        <v>9849.8029882414103</v>
      </c>
      <c r="N28" s="189">
        <f t="shared" si="6"/>
        <v>9947.0844093651394</v>
      </c>
      <c r="O28" s="191">
        <f t="shared" si="6"/>
        <v>113528.7853866182</v>
      </c>
      <c r="P28" s="189">
        <f t="shared" si="6"/>
        <v>10669.74140936514</v>
      </c>
      <c r="Q28" s="189">
        <f t="shared" si="6"/>
        <v>10736.541318536769</v>
      </c>
      <c r="R28" s="189">
        <f t="shared" si="6"/>
        <v>10804.67722589183</v>
      </c>
      <c r="S28" s="189">
        <f t="shared" si="6"/>
        <v>10874.175851393991</v>
      </c>
      <c r="T28" s="189">
        <f t="shared" si="6"/>
        <v>10945.064449406196</v>
      </c>
      <c r="U28" s="189">
        <f t="shared" si="6"/>
        <v>11017.370819378644</v>
      </c>
      <c r="V28" s="189">
        <f t="shared" si="6"/>
        <v>11091.123316750543</v>
      </c>
      <c r="W28" s="189">
        <f t="shared" si="6"/>
        <v>11166.350864069878</v>
      </c>
      <c r="X28" s="189">
        <f t="shared" si="6"/>
        <v>11243.082962335602</v>
      </c>
      <c r="Y28" s="189">
        <f t="shared" si="6"/>
        <v>11321.349702566638</v>
      </c>
      <c r="Z28" s="189">
        <f t="shared" si="6"/>
        <v>11401.181777602296</v>
      </c>
      <c r="AA28" s="189">
        <f t="shared" si="6"/>
        <v>11482.610494138667</v>
      </c>
      <c r="AB28" s="191">
        <f t="shared" ref="AB28:AB29" si="7">SUM(P28:AA28)</f>
        <v>132753.2701914362</v>
      </c>
    </row>
    <row r="29" spans="1:28" x14ac:dyDescent="0.15">
      <c r="A29" s="47" t="s">
        <v>125</v>
      </c>
      <c r="B29" s="193">
        <f>'6a-CashFlowYear1'!O30</f>
        <v>16782.629816412868</v>
      </c>
      <c r="C29" s="86">
        <f t="shared" ref="C29:AA29" si="8">C11-C28</f>
        <v>2822.6679135549748</v>
      </c>
      <c r="D29" s="53">
        <f t="shared" si="8"/>
        <v>3105.5606194851352</v>
      </c>
      <c r="E29" s="53">
        <f t="shared" si="8"/>
        <v>3396.9401065932016</v>
      </c>
      <c r="F29" s="53">
        <f t="shared" si="8"/>
        <v>3697.0609783145101</v>
      </c>
      <c r="G29" s="53">
        <f t="shared" si="8"/>
        <v>4006.1854761874583</v>
      </c>
      <c r="H29" s="53">
        <f t="shared" si="8"/>
        <v>4324.5837089965953</v>
      </c>
      <c r="I29" s="53">
        <f t="shared" si="8"/>
        <v>4652.533888790007</v>
      </c>
      <c r="J29" s="53">
        <f t="shared" si="8"/>
        <v>4990.322573977217</v>
      </c>
      <c r="K29" s="53">
        <f t="shared" si="8"/>
        <v>5338.2449197200476</v>
      </c>
      <c r="L29" s="53">
        <f t="shared" si="8"/>
        <v>5696.6049358351611</v>
      </c>
      <c r="M29" s="53">
        <f t="shared" si="8"/>
        <v>6065.715752433729</v>
      </c>
      <c r="N29" s="53">
        <f t="shared" si="8"/>
        <v>6445.8998935302516</v>
      </c>
      <c r="O29" s="191">
        <f t="shared" si="8"/>
        <v>54542.320767418278</v>
      </c>
      <c r="P29" s="86">
        <f t="shared" si="8"/>
        <v>5723.2428935302505</v>
      </c>
      <c r="Q29" s="53">
        <f t="shared" si="8"/>
        <v>5984.3026704165313</v>
      </c>
      <c r="R29" s="53">
        <f t="shared" si="8"/>
        <v>6250.5836428405401</v>
      </c>
      <c r="S29" s="53">
        <f t="shared" si="8"/>
        <v>6522.1902347130253</v>
      </c>
      <c r="T29" s="53">
        <f t="shared" si="8"/>
        <v>6799.2289584229584</v>
      </c>
      <c r="U29" s="53">
        <f t="shared" si="8"/>
        <v>7081.8084566070938</v>
      </c>
      <c r="V29" s="53">
        <f t="shared" si="8"/>
        <v>7370.0395447549108</v>
      </c>
      <c r="W29" s="53">
        <f t="shared" si="8"/>
        <v>7664.0352546656832</v>
      </c>
      <c r="X29" s="53">
        <f t="shared" si="8"/>
        <v>7963.9108787746682</v>
      </c>
      <c r="Y29" s="53">
        <f t="shared" si="8"/>
        <v>8269.7840153658381</v>
      </c>
      <c r="Z29" s="53">
        <f t="shared" si="8"/>
        <v>8581.7746146888294</v>
      </c>
      <c r="AA29" s="53">
        <f t="shared" si="8"/>
        <v>8900.0050259982872</v>
      </c>
      <c r="AB29" s="191">
        <f t="shared" si="7"/>
        <v>87110.906190778594</v>
      </c>
    </row>
    <row r="30" spans="1:28" x14ac:dyDescent="0.15">
      <c r="A30" s="47" t="s">
        <v>229</v>
      </c>
      <c r="B30" s="47"/>
      <c r="C30" s="86">
        <f t="shared" ref="C30:N30" si="9">C7+C29</f>
        <v>24605.297729967842</v>
      </c>
      <c r="D30" s="86">
        <f t="shared" si="9"/>
        <v>27710.858349452978</v>
      </c>
      <c r="E30" s="86">
        <f t="shared" si="9"/>
        <v>31107.798456046177</v>
      </c>
      <c r="F30" s="86">
        <f t="shared" si="9"/>
        <v>34804.859434360689</v>
      </c>
      <c r="G30" s="86">
        <f t="shared" si="9"/>
        <v>38811.044910548146</v>
      </c>
      <c r="H30" s="86">
        <f t="shared" si="9"/>
        <v>43135.628619544739</v>
      </c>
      <c r="I30" s="86">
        <f t="shared" si="9"/>
        <v>47788.162508334746</v>
      </c>
      <c r="J30" s="86">
        <f t="shared" si="9"/>
        <v>52778.485082311963</v>
      </c>
      <c r="K30" s="86">
        <f t="shared" si="9"/>
        <v>58116.730002032011</v>
      </c>
      <c r="L30" s="86">
        <f t="shared" si="9"/>
        <v>63813.33493786717</v>
      </c>
      <c r="M30" s="86">
        <f t="shared" si="9"/>
        <v>69879.050690300894</v>
      </c>
      <c r="N30" s="86">
        <f t="shared" si="9"/>
        <v>76324.950583831145</v>
      </c>
      <c r="O30" s="191"/>
      <c r="P30" s="86">
        <f t="shared" ref="P30:AA30" si="10">P7+P29</f>
        <v>82048.19347736139</v>
      </c>
      <c r="Q30" s="86">
        <f t="shared" si="10"/>
        <v>88032.496147777914</v>
      </c>
      <c r="R30" s="86">
        <f t="shared" si="10"/>
        <v>94283.07979061846</v>
      </c>
      <c r="S30" s="86">
        <f t="shared" si="10"/>
        <v>100805.27002533148</v>
      </c>
      <c r="T30" s="86">
        <f t="shared" si="10"/>
        <v>107604.49898375444</v>
      </c>
      <c r="U30" s="86">
        <f t="shared" si="10"/>
        <v>114686.30744036153</v>
      </c>
      <c r="V30" s="86">
        <f t="shared" si="10"/>
        <v>122056.34698511644</v>
      </c>
      <c r="W30" s="86">
        <f t="shared" si="10"/>
        <v>129720.38223978212</v>
      </c>
      <c r="X30" s="86">
        <f t="shared" si="10"/>
        <v>137684.29311855679</v>
      </c>
      <c r="Y30" s="86">
        <f t="shared" si="10"/>
        <v>145954.07713392263</v>
      </c>
      <c r="Z30" s="86">
        <f t="shared" si="10"/>
        <v>154535.85174861146</v>
      </c>
      <c r="AA30" s="86">
        <f t="shared" si="10"/>
        <v>163435.85677460974</v>
      </c>
      <c r="AB30" s="191"/>
    </row>
    <row r="31" spans="1:28" x14ac:dyDescent="0.15">
      <c r="A31" s="47" t="s">
        <v>174</v>
      </c>
      <c r="B31" s="193">
        <f>'6a-CashFlowYear1'!O32</f>
        <v>0</v>
      </c>
      <c r="C31" s="86">
        <f>IF(C30&lt;'4-AdditionalInputs'!$D$24, '4-AdditionalInputs'!$D$24-C30, 0)</f>
        <v>0</v>
      </c>
      <c r="D31" s="86">
        <f>IF(D30&lt;'4-AdditionalInputs'!$D$24, '4-AdditionalInputs'!$D$24-D30, 0)</f>
        <v>0</v>
      </c>
      <c r="E31" s="86">
        <f>IF(E30&lt;'4-AdditionalInputs'!$D$24, '4-AdditionalInputs'!$D$24-E30, 0)</f>
        <v>0</v>
      </c>
      <c r="F31" s="86">
        <f>IF(F30&lt;'4-AdditionalInputs'!$D$24, '4-AdditionalInputs'!$D$24-F30, 0)</f>
        <v>0</v>
      </c>
      <c r="G31" s="86">
        <f>IF(G30&lt;'4-AdditionalInputs'!$D$24, '4-AdditionalInputs'!$D$24-G30, 0)</f>
        <v>0</v>
      </c>
      <c r="H31" s="86">
        <f>IF(H30&lt;'4-AdditionalInputs'!$D$24, '4-AdditionalInputs'!$D$24-H30, 0)</f>
        <v>0</v>
      </c>
      <c r="I31" s="86">
        <f>IF(I30&lt;'4-AdditionalInputs'!$D$24, '4-AdditionalInputs'!$D$24-I30, 0)</f>
        <v>0</v>
      </c>
      <c r="J31" s="86">
        <f>IF(J30&lt;'4-AdditionalInputs'!$D$24, '4-AdditionalInputs'!$D$24-J30, 0)</f>
        <v>0</v>
      </c>
      <c r="K31" s="86">
        <f>IF(K30&lt;'4-AdditionalInputs'!$D$24, '4-AdditionalInputs'!$D$24-K30, 0)</f>
        <v>0</v>
      </c>
      <c r="L31" s="86">
        <f>IF(L30&lt;'4-AdditionalInputs'!$D$24, '4-AdditionalInputs'!$D$24-L30, 0)</f>
        <v>0</v>
      </c>
      <c r="M31" s="86">
        <f>IF(M30&lt;'4-AdditionalInputs'!$D$24, '4-AdditionalInputs'!$D$24-M30, 0)</f>
        <v>0</v>
      </c>
      <c r="N31" s="86">
        <f>IF(N30&lt;'4-AdditionalInputs'!$D$24, '4-AdditionalInputs'!$D$24-N30, 0)</f>
        <v>0</v>
      </c>
      <c r="O31" s="191">
        <f>SUM(C31:N31)</f>
        <v>0</v>
      </c>
      <c r="P31" s="86">
        <f>IF(P30&lt;'4-AdditionalInputs'!$D$24, '4-AdditionalInputs'!$D$24-P30, 0)</f>
        <v>0</v>
      </c>
      <c r="Q31" s="86">
        <f>IF(Q30&lt;'4-AdditionalInputs'!$D$24, '4-AdditionalInputs'!$D$24-Q30, 0)</f>
        <v>0</v>
      </c>
      <c r="R31" s="86">
        <f>IF(R30&lt;'4-AdditionalInputs'!$D$24, '4-AdditionalInputs'!$D$24-R30, 0)</f>
        <v>0</v>
      </c>
      <c r="S31" s="86">
        <f>IF(S30&lt;'4-AdditionalInputs'!$D$24, '4-AdditionalInputs'!$D$24-S30, 0)</f>
        <v>0</v>
      </c>
      <c r="T31" s="86">
        <f>IF(T30&lt;'4-AdditionalInputs'!$D$24, '4-AdditionalInputs'!$D$24-T30, 0)</f>
        <v>0</v>
      </c>
      <c r="U31" s="86">
        <f>IF(U30&lt;'4-AdditionalInputs'!$D$24, '4-AdditionalInputs'!$D$24-U30, 0)</f>
        <v>0</v>
      </c>
      <c r="V31" s="86">
        <f>IF(V30&lt;'4-AdditionalInputs'!$D$24, '4-AdditionalInputs'!$D$24-V30, 0)</f>
        <v>0</v>
      </c>
      <c r="W31" s="86">
        <f>IF(W30&lt;'4-AdditionalInputs'!$D$24, '4-AdditionalInputs'!$D$24-W30, 0)</f>
        <v>0</v>
      </c>
      <c r="X31" s="86">
        <f>IF(X30&lt;'4-AdditionalInputs'!$D$24, '4-AdditionalInputs'!$D$24-X30, 0)</f>
        <v>0</v>
      </c>
      <c r="Y31" s="86">
        <f>IF(Y30&lt;'4-AdditionalInputs'!$D$24, '4-AdditionalInputs'!$D$24-Y30, 0)</f>
        <v>0</v>
      </c>
      <c r="Z31" s="86">
        <f>IF(Z30&lt;'4-AdditionalInputs'!$D$24, '4-AdditionalInputs'!$D$24-Z30, 0)</f>
        <v>0</v>
      </c>
      <c r="AA31" s="86">
        <f>IF(AA30&lt;'4-AdditionalInputs'!$D$24, '4-AdditionalInputs'!$D$24-AA30, 0)</f>
        <v>0</v>
      </c>
      <c r="AB31" s="191">
        <f>SUM(P31:AA31)</f>
        <v>0</v>
      </c>
    </row>
    <row r="32" spans="1:28" x14ac:dyDescent="0.15">
      <c r="A32" s="47" t="s">
        <v>28</v>
      </c>
      <c r="B32" s="47"/>
      <c r="C32" s="86">
        <f>SUM(C30+C31)</f>
        <v>24605.297729967842</v>
      </c>
      <c r="D32" s="86">
        <f t="shared" ref="D32:N32" si="11">SUM(D30+D31)</f>
        <v>27710.858349452978</v>
      </c>
      <c r="E32" s="86">
        <f t="shared" si="11"/>
        <v>31107.798456046177</v>
      </c>
      <c r="F32" s="86">
        <f t="shared" si="11"/>
        <v>34804.859434360689</v>
      </c>
      <c r="G32" s="86">
        <f t="shared" si="11"/>
        <v>38811.044910548146</v>
      </c>
      <c r="H32" s="86">
        <f t="shared" si="11"/>
        <v>43135.628619544739</v>
      </c>
      <c r="I32" s="86">
        <f t="shared" si="11"/>
        <v>47788.162508334746</v>
      </c>
      <c r="J32" s="86">
        <f t="shared" si="11"/>
        <v>52778.485082311963</v>
      </c>
      <c r="K32" s="86">
        <f t="shared" si="11"/>
        <v>58116.730002032011</v>
      </c>
      <c r="L32" s="86">
        <f t="shared" si="11"/>
        <v>63813.33493786717</v>
      </c>
      <c r="M32" s="86">
        <f t="shared" si="11"/>
        <v>69879.050690300894</v>
      </c>
      <c r="N32" s="86">
        <f t="shared" si="11"/>
        <v>76324.950583831145</v>
      </c>
      <c r="O32" s="47"/>
      <c r="P32" s="86">
        <f>SUM(P30+P31)</f>
        <v>82048.19347736139</v>
      </c>
      <c r="Q32" s="86">
        <f t="shared" ref="Q32:AA32" si="12">SUM(Q30+Q31)</f>
        <v>88032.496147777914</v>
      </c>
      <c r="R32" s="86">
        <f t="shared" si="12"/>
        <v>94283.07979061846</v>
      </c>
      <c r="S32" s="86">
        <f t="shared" si="12"/>
        <v>100805.27002533148</v>
      </c>
      <c r="T32" s="86">
        <f t="shared" si="12"/>
        <v>107604.49898375444</v>
      </c>
      <c r="U32" s="86">
        <f t="shared" si="12"/>
        <v>114686.30744036153</v>
      </c>
      <c r="V32" s="86">
        <f t="shared" si="12"/>
        <v>122056.34698511644</v>
      </c>
      <c r="W32" s="86">
        <f t="shared" si="12"/>
        <v>129720.38223978212</v>
      </c>
      <c r="X32" s="86">
        <f t="shared" si="12"/>
        <v>137684.29311855679</v>
      </c>
      <c r="Y32" s="86">
        <f t="shared" si="12"/>
        <v>145954.07713392263</v>
      </c>
      <c r="Z32" s="86">
        <f t="shared" si="12"/>
        <v>154535.85174861146</v>
      </c>
      <c r="AA32" s="86">
        <f t="shared" si="12"/>
        <v>163435.85677460974</v>
      </c>
      <c r="AB32" s="191"/>
    </row>
    <row r="33" spans="1:28" x14ac:dyDescent="0.15">
      <c r="A33" s="26" t="s">
        <v>199</v>
      </c>
      <c r="B33" s="26"/>
      <c r="C33" s="36">
        <f>IF(C31=0,'6a-CashFlowYear1'!N34-C26,'6a-CashFlowYear1'!N34+C31-C26)</f>
        <v>0</v>
      </c>
      <c r="D33" s="36">
        <f>D31+C33-D26</f>
        <v>0</v>
      </c>
      <c r="E33" s="36">
        <f t="shared" ref="E33:N33" si="13">E31+D33-E26</f>
        <v>0</v>
      </c>
      <c r="F33" s="36">
        <f t="shared" si="13"/>
        <v>0</v>
      </c>
      <c r="G33" s="36">
        <f t="shared" si="13"/>
        <v>0</v>
      </c>
      <c r="H33" s="36">
        <f t="shared" si="13"/>
        <v>0</v>
      </c>
      <c r="I33" s="36">
        <f t="shared" si="13"/>
        <v>0</v>
      </c>
      <c r="J33" s="36">
        <f t="shared" si="13"/>
        <v>0</v>
      </c>
      <c r="K33" s="36">
        <f t="shared" si="13"/>
        <v>0</v>
      </c>
      <c r="L33" s="36">
        <f t="shared" si="13"/>
        <v>0</v>
      </c>
      <c r="M33" s="36">
        <f t="shared" si="13"/>
        <v>0</v>
      </c>
      <c r="N33" s="36">
        <f t="shared" si="13"/>
        <v>0</v>
      </c>
      <c r="O33" s="26"/>
      <c r="P33" s="36">
        <f>IF(P31=0,N33-P26,N33+P31-P26)</f>
        <v>0</v>
      </c>
      <c r="Q33" s="36">
        <f>Q31+P33-Q26</f>
        <v>0</v>
      </c>
      <c r="R33" s="36">
        <f t="shared" ref="R33" si="14">R31+Q33-R26</f>
        <v>0</v>
      </c>
      <c r="S33" s="36">
        <f t="shared" ref="S33" si="15">S31+R33-S26</f>
        <v>0</v>
      </c>
      <c r="T33" s="36">
        <f t="shared" ref="T33" si="16">T31+S33-T26</f>
        <v>0</v>
      </c>
      <c r="U33" s="36">
        <f t="shared" ref="U33" si="17">U31+T33-U26</f>
        <v>0</v>
      </c>
      <c r="V33" s="36">
        <f t="shared" ref="V33" si="18">V31+U33-V26</f>
        <v>0</v>
      </c>
      <c r="W33" s="36">
        <f t="shared" ref="W33" si="19">W31+V33-W26</f>
        <v>0</v>
      </c>
      <c r="X33" s="36">
        <f t="shared" ref="X33" si="20">X31+W33-X26</f>
        <v>0</v>
      </c>
      <c r="Y33" s="36">
        <f t="shared" ref="Y33" si="21">Y31+X33-Y26</f>
        <v>0</v>
      </c>
      <c r="Z33" s="36">
        <f t="shared" ref="Z33" si="22">Z31+Y33-Z26</f>
        <v>0</v>
      </c>
      <c r="AA33" s="36">
        <f t="shared" ref="AA33" si="23">AA31+Z33-AA26</f>
        <v>0</v>
      </c>
      <c r="AB33" s="191"/>
    </row>
  </sheetData>
  <sheetProtection password="CC3D" sheet="1" objects="1" scenarios="1" formatColumns="0" formatRows="0"/>
  <phoneticPr fontId="3" type="noConversion"/>
  <conditionalFormatting sqref="C16:N16">
    <cfRule type="containsBlanks" dxfId="37" priority="24" stopIfTrue="1">
      <formula>LEN(TRIM(C16))=0</formula>
    </cfRule>
  </conditionalFormatting>
  <conditionalFormatting sqref="C24:N24 C26:N27">
    <cfRule type="containsBlanks" dxfId="36" priority="23" stopIfTrue="1">
      <formula>LEN(TRIM(C24))=0</formula>
    </cfRule>
  </conditionalFormatting>
  <conditionalFormatting sqref="C31:N31">
    <cfRule type="containsBlanks" dxfId="35" priority="14">
      <formula>LEN(TRIM(C31))=0</formula>
    </cfRule>
  </conditionalFormatting>
  <conditionalFormatting sqref="C32:N32">
    <cfRule type="expression" dxfId="34" priority="16" stopIfTrue="1">
      <formula>ISERROR(C32)</formula>
    </cfRule>
  </conditionalFormatting>
  <conditionalFormatting sqref="C23:AA23">
    <cfRule type="expression" dxfId="33" priority="5" stopIfTrue="1">
      <formula>ISERROR(C23)</formula>
    </cfRule>
  </conditionalFormatting>
  <conditionalFormatting sqref="C28:AB28 AB29">
    <cfRule type="expression" dxfId="32" priority="11" stopIfTrue="1">
      <formula>ISERROR(C28)</formula>
    </cfRule>
  </conditionalFormatting>
  <conditionalFormatting sqref="D31:N31 D7:N7 C29:N30">
    <cfRule type="expression" dxfId="31" priority="17" stopIfTrue="1">
      <formula>ISERROR(C7)</formula>
    </cfRule>
  </conditionalFormatting>
  <conditionalFormatting sqref="O29">
    <cfRule type="expression" dxfId="30" priority="4" stopIfTrue="1">
      <formula>ISERROR(O29)</formula>
    </cfRule>
  </conditionalFormatting>
  <conditionalFormatting sqref="O31">
    <cfRule type="expression" dxfId="29" priority="1" stopIfTrue="1">
      <formula>ISERROR(O31)</formula>
    </cfRule>
  </conditionalFormatting>
  <conditionalFormatting sqref="P16:AA16">
    <cfRule type="containsBlanks" dxfId="28" priority="22" stopIfTrue="1">
      <formula>LEN(TRIM(P16))=0</formula>
    </cfRule>
  </conditionalFormatting>
  <conditionalFormatting sqref="P24:AA24 P26:AA27">
    <cfRule type="containsBlanks" dxfId="27" priority="25" stopIfTrue="1">
      <formula>LEN(TRIM(P24))=0</formula>
    </cfRule>
  </conditionalFormatting>
  <conditionalFormatting sqref="P31:AA31">
    <cfRule type="containsBlanks" dxfId="26" priority="7">
      <formula>LEN(TRIM(P31))=0</formula>
    </cfRule>
  </conditionalFormatting>
  <conditionalFormatting sqref="P32:AA32">
    <cfRule type="expression" dxfId="25" priority="9" stopIfTrue="1">
      <formula>ISERROR(P32)</formula>
    </cfRule>
  </conditionalFormatting>
  <conditionalFormatting sqref="Q31:AA31 Q7:AA7 P29:AA30">
    <cfRule type="expression" dxfId="24" priority="10" stopIfTrue="1">
      <formula>ISERROR(P7)</formula>
    </cfRule>
  </conditionalFormatting>
  <conditionalFormatting sqref="AB30:AB33">
    <cfRule type="expression" dxfId="23" priority="8" stopIfTrue="1">
      <formula>ISERROR(AB30)</formula>
    </cfRule>
  </conditionalFormatting>
  <dataValidations disablePrompts="1" count="1">
    <dataValidation type="textLength" allowBlank="1" showInputMessage="1" showErrorMessage="1" sqref="B4" xr:uid="{00000000-0002-0000-0A00-000000000000}">
      <formula1>1</formula1>
      <formula2>15</formula2>
    </dataValidation>
  </dataValidations>
  <pageMargins left="0.7" right="0.7" top="0.75" bottom="0.75" header="0.3" footer="0.3"/>
  <pageSetup scale="71" fitToWidth="2" orientation="landscape" r:id="rId1"/>
  <headerFooter differentFirst="1" scaleWithDoc="0">
    <oddHeader>&amp;C&amp;"Gill Sans MT,Regular"&amp;12Cash Flow Forecast Years 1-3</oddHeader>
    <oddFooter>&amp;L&amp;F&amp;C&amp;A&amp;R&amp;D &amp;T</oddFooter>
    <evenHeader>&amp;C&amp;"Gill Sans MT,Regular"Cash Flow Forecast Years 1-3</evenHeader>
    <firstHeader>&amp;C&amp;"Gill Sans MT,Regular"&amp;12Cash Flow Forecast Years 1-3</firstHeader>
    <firstFooter>&amp;L&amp;F&amp;C&amp;A&amp;R&amp;D &amp;T</firstFooter>
  </headerFooter>
  <colBreaks count="1" manualBreakCount="1">
    <brk id="15" min="2" max="32" man="1"/>
  </colBreaks>
  <ignoredErrors>
    <ignoredError sqref="O31" formula="1"/>
  </ignoredErrors>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tabColor rgb="FFFFC95B"/>
    <pageSetUpPr autoPageBreaks="0"/>
  </sheetPr>
  <dimension ref="A1:O67"/>
  <sheetViews>
    <sheetView zoomScale="200" zoomScaleNormal="70" zoomScalePageLayoutView="50" workbookViewId="0">
      <selection activeCell="B2" sqref="B2:C2"/>
    </sheetView>
  </sheetViews>
  <sheetFormatPr baseColWidth="10" defaultColWidth="9.1640625" defaultRowHeight="12" x14ac:dyDescent="0.15"/>
  <cols>
    <col min="1" max="1" width="9.1640625" style="5"/>
    <col min="2" max="2" width="46.6640625" style="5" bestFit="1" customWidth="1"/>
    <col min="3" max="10" width="10.33203125" style="5" bestFit="1" customWidth="1"/>
    <col min="11" max="11" width="11.83203125" style="5" bestFit="1" customWidth="1"/>
    <col min="12" max="12" width="10.33203125" style="5" bestFit="1" customWidth="1"/>
    <col min="13" max="13" width="10" style="5" customWidth="1"/>
    <col min="14" max="14" width="11.1640625" style="5" bestFit="1" customWidth="1"/>
    <col min="15" max="15" width="14.83203125" style="5" bestFit="1" customWidth="1"/>
    <col min="16" max="16384" width="9.1640625" style="5"/>
  </cols>
  <sheetData>
    <row r="1" spans="2:15" x14ac:dyDescent="0.15">
      <c r="B1" s="194"/>
      <c r="C1" s="194"/>
    </row>
    <row r="2" spans="2:15" x14ac:dyDescent="0.15">
      <c r="B2" s="514" t="s">
        <v>333</v>
      </c>
      <c r="C2" s="514"/>
    </row>
    <row r="3" spans="2:15" x14ac:dyDescent="0.15">
      <c r="B3" s="55"/>
      <c r="C3" s="9"/>
    </row>
    <row r="4" spans="2:15" x14ac:dyDescent="0.15">
      <c r="B4" s="58" t="s">
        <v>130</v>
      </c>
      <c r="C4" s="501" t="s">
        <v>131</v>
      </c>
      <c r="D4" s="501"/>
    </row>
    <row r="5" spans="2:15" x14ac:dyDescent="0.15">
      <c r="B5" s="19" t="str">
        <f>IF(ISBLANK(Directions!C10), "Owner", Directions!C10)</f>
        <v>Dave Johnson</v>
      </c>
      <c r="C5" s="502" t="str">
        <f>IF(ISBLANK(Directions!D10), "Company 1", Directions!D10)</f>
        <v>Dave's Famous Pretzels</v>
      </c>
      <c r="D5" s="502"/>
    </row>
    <row r="6" spans="2:15" x14ac:dyDescent="0.15">
      <c r="B6" s="19"/>
      <c r="C6" s="19"/>
    </row>
    <row r="7" spans="2:15" ht="14" thickBot="1" x14ac:dyDescent="0.2">
      <c r="B7" s="344"/>
      <c r="C7" s="344" t="str">
        <f>'2a-PayrollYear1'!F7</f>
        <v>January</v>
      </c>
      <c r="D7" s="344" t="str">
        <f>'2a-PayrollYear1'!G7</f>
        <v>February</v>
      </c>
      <c r="E7" s="344" t="str">
        <f>'2a-PayrollYear1'!H7</f>
        <v>March</v>
      </c>
      <c r="F7" s="344" t="str">
        <f>'2a-PayrollYear1'!I7</f>
        <v>April</v>
      </c>
      <c r="G7" s="344" t="str">
        <f>'2a-PayrollYear1'!J7</f>
        <v>May</v>
      </c>
      <c r="H7" s="344" t="str">
        <f>'2a-PayrollYear1'!K7</f>
        <v>June</v>
      </c>
      <c r="I7" s="344" t="str">
        <f>'2a-PayrollYear1'!L7</f>
        <v>July</v>
      </c>
      <c r="J7" s="344" t="str">
        <f>'2a-PayrollYear1'!M7</f>
        <v>August</v>
      </c>
      <c r="K7" s="344" t="str">
        <f>'2a-PayrollYear1'!N7</f>
        <v>September</v>
      </c>
      <c r="L7" s="344" t="str">
        <f>'2a-PayrollYear1'!O7</f>
        <v>October</v>
      </c>
      <c r="M7" s="344" t="str">
        <f>'2a-PayrollYear1'!P7</f>
        <v>November</v>
      </c>
      <c r="N7" s="344" t="str">
        <f>'2a-PayrollYear1'!Q7</f>
        <v>December</v>
      </c>
      <c r="O7" s="344" t="str">
        <f>'2a-PayrollYear1'!R7</f>
        <v>Annual Totals</v>
      </c>
    </row>
    <row r="8" spans="2:15" ht="13" thickTop="1" x14ac:dyDescent="0.15">
      <c r="B8" s="349" t="s">
        <v>138</v>
      </c>
      <c r="C8" s="322"/>
      <c r="D8" s="322"/>
      <c r="E8" s="322"/>
      <c r="F8" s="322"/>
      <c r="G8" s="322"/>
      <c r="H8" s="322"/>
      <c r="I8" s="322"/>
      <c r="J8" s="322"/>
      <c r="K8" s="322"/>
      <c r="L8" s="322"/>
      <c r="M8" s="322"/>
      <c r="N8" s="322"/>
      <c r="O8" s="322"/>
    </row>
    <row r="9" spans="2:15" x14ac:dyDescent="0.15">
      <c r="B9" s="195" t="str">
        <f>'3a-SalesForecastYear1'!B17</f>
        <v>Pretzels</v>
      </c>
      <c r="C9" s="30">
        <f>'3a-SalesForecastYear1'!C19</f>
        <v>4200</v>
      </c>
      <c r="D9" s="30">
        <f>'3a-SalesForecastYear1'!D19</f>
        <v>4620</v>
      </c>
      <c r="E9" s="30">
        <f>'3a-SalesForecastYear1'!E19</f>
        <v>5082</v>
      </c>
      <c r="F9" s="30">
        <f>'3a-SalesForecastYear1'!F19</f>
        <v>5386.92</v>
      </c>
      <c r="G9" s="30">
        <f>'3a-SalesForecastYear1'!G19</f>
        <v>5710.1351999999997</v>
      </c>
      <c r="H9" s="30">
        <f>'3a-SalesForecastYear1'!H19</f>
        <v>6052.7433119999996</v>
      </c>
      <c r="I9" s="30">
        <f>'3a-SalesForecastYear1'!I19</f>
        <v>6294.8530444799999</v>
      </c>
      <c r="J9" s="30">
        <f>'3a-SalesForecastYear1'!J19</f>
        <v>6546.6471662591994</v>
      </c>
      <c r="K9" s="30">
        <f>'3a-SalesForecastYear1'!K19</f>
        <v>6808.5130529095677</v>
      </c>
      <c r="L9" s="30">
        <f>'3a-SalesForecastYear1'!L19</f>
        <v>7012.7684444968545</v>
      </c>
      <c r="M9" s="30">
        <f>'3a-SalesForecastYear1'!M19</f>
        <v>7223.1514978317609</v>
      </c>
      <c r="N9" s="30">
        <f>'3a-SalesForecastYear1'!N19</f>
        <v>7439.8460427667142</v>
      </c>
      <c r="O9" s="36">
        <f>SUM(C9:N9)</f>
        <v>72377.577760744098</v>
      </c>
    </row>
    <row r="10" spans="2:15" x14ac:dyDescent="0.15">
      <c r="B10" s="196" t="str">
        <f>'3a-SalesForecastYear1'!B23</f>
        <v>Coffee</v>
      </c>
      <c r="C10" s="30">
        <f>'3a-SalesForecastYear1'!C25</f>
        <v>1748</v>
      </c>
      <c r="D10" s="30">
        <f>'3a-SalesForecastYear1'!D25</f>
        <v>1922.8</v>
      </c>
      <c r="E10" s="30">
        <f>'3a-SalesForecastYear1'!E25</f>
        <v>2115.08</v>
      </c>
      <c r="F10" s="30">
        <f>'3a-SalesForecastYear1'!F25</f>
        <v>2241.9847999999997</v>
      </c>
      <c r="G10" s="30">
        <f>'3a-SalesForecastYear1'!G25</f>
        <v>2376.5038879999997</v>
      </c>
      <c r="H10" s="30">
        <f>'3a-SalesForecastYear1'!H25</f>
        <v>2519.0941212799999</v>
      </c>
      <c r="I10" s="30">
        <f>'3a-SalesForecastYear1'!I25</f>
        <v>2619.8578861311998</v>
      </c>
      <c r="J10" s="30">
        <f>'3a-SalesForecastYear1'!J25</f>
        <v>2724.6522015764476</v>
      </c>
      <c r="K10" s="30">
        <f>'3a-SalesForecastYear1'!K25</f>
        <v>2833.6382896395057</v>
      </c>
      <c r="L10" s="30">
        <f>'3a-SalesForecastYear1'!L25</f>
        <v>2918.6474383286909</v>
      </c>
      <c r="M10" s="30">
        <f>'3a-SalesForecastYear1'!M25</f>
        <v>3006.2068614785517</v>
      </c>
      <c r="N10" s="30">
        <f>'3a-SalesForecastYear1'!N25</f>
        <v>3096.3930673229083</v>
      </c>
      <c r="O10" s="36">
        <f t="shared" ref="O10:O15" si="0">SUM(C10:N10)</f>
        <v>30122.858553757302</v>
      </c>
    </row>
    <row r="11" spans="2:15" x14ac:dyDescent="0.15">
      <c r="B11" s="195" t="str">
        <f>'3a-SalesForecastYear1'!B29</f>
        <v>Sodas</v>
      </c>
      <c r="C11" s="30">
        <f>'3a-SalesForecastYear1'!C31</f>
        <v>737.5</v>
      </c>
      <c r="D11" s="30">
        <f>'3a-SalesForecastYear1'!D31</f>
        <v>811.25</v>
      </c>
      <c r="E11" s="30">
        <f>'3a-SalesForecastYear1'!E31</f>
        <v>892.375</v>
      </c>
      <c r="F11" s="30">
        <f>'3a-SalesForecastYear1'!F31</f>
        <v>945.9174999999999</v>
      </c>
      <c r="G11" s="30">
        <f>'3a-SalesForecastYear1'!G31</f>
        <v>1002.6725499999999</v>
      </c>
      <c r="H11" s="30">
        <f>'3a-SalesForecastYear1'!H31</f>
        <v>1062.832903</v>
      </c>
      <c r="I11" s="30">
        <f>'3a-SalesForecastYear1'!I31</f>
        <v>1105.3462191199999</v>
      </c>
      <c r="J11" s="30">
        <f>'3a-SalesForecastYear1'!J31</f>
        <v>1149.5600678848</v>
      </c>
      <c r="K11" s="30">
        <f>'3a-SalesForecastYear1'!K31</f>
        <v>1195.542470600192</v>
      </c>
      <c r="L11" s="30">
        <f>'3a-SalesForecastYear1'!L31</f>
        <v>1231.4087447181978</v>
      </c>
      <c r="M11" s="30">
        <f>'3a-SalesForecastYear1'!M31</f>
        <v>1268.3510070597438</v>
      </c>
      <c r="N11" s="30">
        <f>'3a-SalesForecastYear1'!N31</f>
        <v>1306.401537271536</v>
      </c>
      <c r="O11" s="36">
        <f t="shared" si="0"/>
        <v>12709.15799965447</v>
      </c>
    </row>
    <row r="12" spans="2:15" x14ac:dyDescent="0.15">
      <c r="B12" s="195" t="str">
        <f>'3a-SalesForecastYear1'!B35</f>
        <v xml:space="preserve"> </v>
      </c>
      <c r="C12" s="30">
        <f>'3a-SalesForecastYear1'!C37</f>
        <v>0</v>
      </c>
      <c r="D12" s="30">
        <f>'3a-SalesForecastYear1'!D37</f>
        <v>0</v>
      </c>
      <c r="E12" s="30">
        <f>'3a-SalesForecastYear1'!E37</f>
        <v>0</v>
      </c>
      <c r="F12" s="30">
        <f>'3a-SalesForecastYear1'!F37</f>
        <v>0</v>
      </c>
      <c r="G12" s="30">
        <f>'3a-SalesForecastYear1'!G37</f>
        <v>0</v>
      </c>
      <c r="H12" s="30">
        <f>'3a-SalesForecastYear1'!H37</f>
        <v>0</v>
      </c>
      <c r="I12" s="30">
        <f>'3a-SalesForecastYear1'!I37</f>
        <v>0</v>
      </c>
      <c r="J12" s="30">
        <f>'3a-SalesForecastYear1'!J37</f>
        <v>0</v>
      </c>
      <c r="K12" s="30">
        <f>'3a-SalesForecastYear1'!K37</f>
        <v>0</v>
      </c>
      <c r="L12" s="30">
        <f>'3a-SalesForecastYear1'!L37</f>
        <v>0</v>
      </c>
      <c r="M12" s="30">
        <f>'3a-SalesForecastYear1'!M37</f>
        <v>0</v>
      </c>
      <c r="N12" s="30">
        <f>'3a-SalesForecastYear1'!N37</f>
        <v>0</v>
      </c>
      <c r="O12" s="36">
        <f t="shared" si="0"/>
        <v>0</v>
      </c>
    </row>
    <row r="13" spans="2:15" x14ac:dyDescent="0.15">
      <c r="B13" s="195" t="str">
        <f>'3a-SalesForecastYear1'!B41</f>
        <v xml:space="preserve"> </v>
      </c>
      <c r="C13" s="30">
        <f>'3a-SalesForecastYear1'!C43</f>
        <v>0</v>
      </c>
      <c r="D13" s="30">
        <f>'3a-SalesForecastYear1'!D43</f>
        <v>0</v>
      </c>
      <c r="E13" s="30">
        <f>'3a-SalesForecastYear1'!E43</f>
        <v>0</v>
      </c>
      <c r="F13" s="30">
        <f>'3a-SalesForecastYear1'!F43</f>
        <v>0</v>
      </c>
      <c r="G13" s="30">
        <f>'3a-SalesForecastYear1'!G43</f>
        <v>0</v>
      </c>
      <c r="H13" s="30">
        <f>'3a-SalesForecastYear1'!H43</f>
        <v>0</v>
      </c>
      <c r="I13" s="30">
        <f>'3a-SalesForecastYear1'!I43</f>
        <v>0</v>
      </c>
      <c r="J13" s="30">
        <f>'3a-SalesForecastYear1'!J43</f>
        <v>0</v>
      </c>
      <c r="K13" s="30">
        <f>'3a-SalesForecastYear1'!K43</f>
        <v>0</v>
      </c>
      <c r="L13" s="30">
        <f>'3a-SalesForecastYear1'!L43</f>
        <v>0</v>
      </c>
      <c r="M13" s="30">
        <f>'3a-SalesForecastYear1'!M43</f>
        <v>0</v>
      </c>
      <c r="N13" s="30">
        <f>'3a-SalesForecastYear1'!N43</f>
        <v>0</v>
      </c>
      <c r="O13" s="36">
        <f t="shared" si="0"/>
        <v>0</v>
      </c>
    </row>
    <row r="14" spans="2:15" x14ac:dyDescent="0.15">
      <c r="B14" s="195" t="str">
        <f>'3a-SalesForecastYear1'!B47</f>
        <v xml:space="preserve"> </v>
      </c>
      <c r="C14" s="30">
        <f>'3a-SalesForecastYear1'!C49</f>
        <v>0</v>
      </c>
      <c r="D14" s="30">
        <f>'3a-SalesForecastYear1'!D49</f>
        <v>0</v>
      </c>
      <c r="E14" s="30">
        <f>'3a-SalesForecastYear1'!E49</f>
        <v>0</v>
      </c>
      <c r="F14" s="30">
        <f>'3a-SalesForecastYear1'!F49</f>
        <v>0</v>
      </c>
      <c r="G14" s="30">
        <f>'3a-SalesForecastYear1'!G49</f>
        <v>0</v>
      </c>
      <c r="H14" s="30">
        <f>'3a-SalesForecastYear1'!H49</f>
        <v>0</v>
      </c>
      <c r="I14" s="30">
        <f>'3a-SalesForecastYear1'!I49</f>
        <v>0</v>
      </c>
      <c r="J14" s="30">
        <f>'3a-SalesForecastYear1'!J49</f>
        <v>0</v>
      </c>
      <c r="K14" s="30">
        <f>'3a-SalesForecastYear1'!K49</f>
        <v>0</v>
      </c>
      <c r="L14" s="30">
        <f>'3a-SalesForecastYear1'!L49</f>
        <v>0</v>
      </c>
      <c r="M14" s="30">
        <f>'3a-SalesForecastYear1'!M49</f>
        <v>0</v>
      </c>
      <c r="N14" s="30">
        <f>'3a-SalesForecastYear1'!N49</f>
        <v>0</v>
      </c>
      <c r="O14" s="36">
        <f t="shared" si="0"/>
        <v>0</v>
      </c>
    </row>
    <row r="15" spans="2:15" x14ac:dyDescent="0.15">
      <c r="B15" s="47" t="s">
        <v>137</v>
      </c>
      <c r="C15" s="36">
        <f>SUM(C9:C14)</f>
        <v>6685.5</v>
      </c>
      <c r="D15" s="36">
        <f t="shared" ref="D15:N15" si="1">SUM(D9:D14)</f>
        <v>7354.05</v>
      </c>
      <c r="E15" s="36">
        <f t="shared" si="1"/>
        <v>8089.4549999999999</v>
      </c>
      <c r="F15" s="36">
        <f t="shared" si="1"/>
        <v>8574.8222999999998</v>
      </c>
      <c r="G15" s="36">
        <f t="shared" si="1"/>
        <v>9089.3116379999992</v>
      </c>
      <c r="H15" s="36">
        <f t="shared" si="1"/>
        <v>9634.6703362799999</v>
      </c>
      <c r="I15" s="36">
        <f t="shared" si="1"/>
        <v>10020.057149731199</v>
      </c>
      <c r="J15" s="36">
        <f t="shared" si="1"/>
        <v>10420.859435720447</v>
      </c>
      <c r="K15" s="36">
        <f t="shared" si="1"/>
        <v>10837.693813149266</v>
      </c>
      <c r="L15" s="36">
        <f t="shared" si="1"/>
        <v>11162.824627543743</v>
      </c>
      <c r="M15" s="36">
        <f t="shared" si="1"/>
        <v>11497.709366370056</v>
      </c>
      <c r="N15" s="36">
        <f t="shared" si="1"/>
        <v>11842.640647361159</v>
      </c>
      <c r="O15" s="36">
        <f t="shared" si="0"/>
        <v>115209.59431415585</v>
      </c>
    </row>
    <row r="16" spans="2:15" x14ac:dyDescent="0.15">
      <c r="B16" s="47" t="s">
        <v>29</v>
      </c>
      <c r="C16" s="7"/>
      <c r="D16" s="7"/>
      <c r="E16" s="7"/>
      <c r="F16" s="7"/>
      <c r="G16" s="7"/>
      <c r="H16" s="7"/>
      <c r="I16" s="7"/>
      <c r="J16" s="7"/>
      <c r="K16" s="7"/>
      <c r="L16" s="7"/>
      <c r="M16" s="7"/>
      <c r="N16" s="7"/>
      <c r="O16" s="36"/>
    </row>
    <row r="17" spans="2:15" x14ac:dyDescent="0.15">
      <c r="B17" s="195" t="str">
        <f>'3a-SalesForecastYear1'!B17</f>
        <v>Pretzels</v>
      </c>
      <c r="C17" s="30">
        <f>'3a-SalesForecastYear1'!C20</f>
        <v>900</v>
      </c>
      <c r="D17" s="30">
        <f>'3a-SalesForecastYear1'!D20</f>
        <v>990</v>
      </c>
      <c r="E17" s="30">
        <f>'3a-SalesForecastYear1'!E20</f>
        <v>1089</v>
      </c>
      <c r="F17" s="30">
        <f>'3a-SalesForecastYear1'!F20</f>
        <v>1154.3399999999999</v>
      </c>
      <c r="G17" s="30">
        <f>'3a-SalesForecastYear1'!G20</f>
        <v>1223.6003999999998</v>
      </c>
      <c r="H17" s="30">
        <f>'3a-SalesForecastYear1'!H20</f>
        <v>1297.0164239999999</v>
      </c>
      <c r="I17" s="30">
        <f>'3a-SalesForecastYear1'!I20</f>
        <v>1348.89708096</v>
      </c>
      <c r="J17" s="30">
        <f>'3a-SalesForecastYear1'!J20</f>
        <v>1402.8529641983998</v>
      </c>
      <c r="K17" s="30">
        <f>'3a-SalesForecastYear1'!K20</f>
        <v>1458.9670827663358</v>
      </c>
      <c r="L17" s="30">
        <f>'3a-SalesForecastYear1'!L20</f>
        <v>1502.7360952493259</v>
      </c>
      <c r="M17" s="30">
        <f>'3a-SalesForecastYear1'!M20</f>
        <v>1547.8181781068058</v>
      </c>
      <c r="N17" s="30">
        <f>'3a-SalesForecastYear1'!N20</f>
        <v>1594.2527234500101</v>
      </c>
      <c r="O17" s="36">
        <f>SUM(C17:N17)</f>
        <v>15509.480948730876</v>
      </c>
    </row>
    <row r="18" spans="2:15" x14ac:dyDescent="0.15">
      <c r="B18" s="196" t="str">
        <f>'3a-SalesForecastYear1'!B23</f>
        <v>Coffee</v>
      </c>
      <c r="C18" s="30">
        <f>'3a-SalesForecastYear1'!C26</f>
        <v>314.64</v>
      </c>
      <c r="D18" s="30">
        <f>'3a-SalesForecastYear1'!D26</f>
        <v>346.10399999999998</v>
      </c>
      <c r="E18" s="30">
        <f>'3a-SalesForecastYear1'!E26</f>
        <v>380.71439999999996</v>
      </c>
      <c r="F18" s="30">
        <f>'3a-SalesForecastYear1'!F26</f>
        <v>403.55726399999992</v>
      </c>
      <c r="G18" s="30">
        <f>'3a-SalesForecastYear1'!G26</f>
        <v>427.77069983999996</v>
      </c>
      <c r="H18" s="30">
        <f>'3a-SalesForecastYear1'!H26</f>
        <v>453.43694183039997</v>
      </c>
      <c r="I18" s="30">
        <f>'3a-SalesForecastYear1'!I26</f>
        <v>471.57441950361596</v>
      </c>
      <c r="J18" s="30">
        <f>'3a-SalesForecastYear1'!J26</f>
        <v>490.43739628376056</v>
      </c>
      <c r="K18" s="30">
        <f>'3a-SalesForecastYear1'!K26</f>
        <v>510.054892135111</v>
      </c>
      <c r="L18" s="30">
        <f>'3a-SalesForecastYear1'!L26</f>
        <v>525.35653889916432</v>
      </c>
      <c r="M18" s="30">
        <f>'3a-SalesForecastYear1'!M26</f>
        <v>541.1172350661393</v>
      </c>
      <c r="N18" s="30">
        <f>'3a-SalesForecastYear1'!N26</f>
        <v>557.35075211812352</v>
      </c>
      <c r="O18" s="36">
        <f t="shared" ref="O18:O25" si="2">SUM(C18:N18)</f>
        <v>5422.114539676315</v>
      </c>
    </row>
    <row r="19" spans="2:15" x14ac:dyDescent="0.15">
      <c r="B19" s="195" t="str">
        <f>'3a-SalesForecastYear1'!B29</f>
        <v>Sodas</v>
      </c>
      <c r="C19" s="30">
        <f>'3a-SalesForecastYear1'!C32</f>
        <v>147.5</v>
      </c>
      <c r="D19" s="30">
        <f>'3a-SalesForecastYear1'!D32</f>
        <v>162.25</v>
      </c>
      <c r="E19" s="30">
        <f>'3a-SalesForecastYear1'!E32</f>
        <v>178.47499999999999</v>
      </c>
      <c r="F19" s="30">
        <f>'3a-SalesForecastYear1'!F32</f>
        <v>189.18349999999998</v>
      </c>
      <c r="G19" s="30">
        <f>'3a-SalesForecastYear1'!G32</f>
        <v>200.53450999999998</v>
      </c>
      <c r="H19" s="30">
        <f>'3a-SalesForecastYear1'!H32</f>
        <v>212.56658059999998</v>
      </c>
      <c r="I19" s="30">
        <f>'3a-SalesForecastYear1'!I32</f>
        <v>221.06924382399998</v>
      </c>
      <c r="J19" s="30">
        <f>'3a-SalesForecastYear1'!J32</f>
        <v>229.91201357695999</v>
      </c>
      <c r="K19" s="30">
        <f>'3a-SalesForecastYear1'!K32</f>
        <v>239.10849412003839</v>
      </c>
      <c r="L19" s="30">
        <f>'3a-SalesForecastYear1'!L32</f>
        <v>246.28174894363954</v>
      </c>
      <c r="M19" s="30">
        <f>'3a-SalesForecastYear1'!M32</f>
        <v>253.67020141194874</v>
      </c>
      <c r="N19" s="30">
        <f>'3a-SalesForecastYear1'!N32</f>
        <v>261.28030745430721</v>
      </c>
      <c r="O19" s="36">
        <f t="shared" si="2"/>
        <v>2541.8315999308938</v>
      </c>
    </row>
    <row r="20" spans="2:15" x14ac:dyDescent="0.15">
      <c r="B20" s="195" t="str">
        <f>'3a-SalesForecastYear1'!B35</f>
        <v xml:space="preserve"> </v>
      </c>
      <c r="C20" s="30">
        <f>'3a-SalesForecastYear1'!C38</f>
        <v>0</v>
      </c>
      <c r="D20" s="30">
        <f>'3a-SalesForecastYear1'!D38</f>
        <v>0</v>
      </c>
      <c r="E20" s="30">
        <f>'3a-SalesForecastYear1'!E38</f>
        <v>0</v>
      </c>
      <c r="F20" s="30">
        <f>'3a-SalesForecastYear1'!F38</f>
        <v>0</v>
      </c>
      <c r="G20" s="30">
        <f>'3a-SalesForecastYear1'!G38</f>
        <v>0</v>
      </c>
      <c r="H20" s="30">
        <f>'3a-SalesForecastYear1'!H38</f>
        <v>0</v>
      </c>
      <c r="I20" s="30">
        <f>'3a-SalesForecastYear1'!I38</f>
        <v>0</v>
      </c>
      <c r="J20" s="30">
        <f>'3a-SalesForecastYear1'!J38</f>
        <v>0</v>
      </c>
      <c r="K20" s="30">
        <f>'3a-SalesForecastYear1'!K38</f>
        <v>0</v>
      </c>
      <c r="L20" s="30">
        <f>'3a-SalesForecastYear1'!L38</f>
        <v>0</v>
      </c>
      <c r="M20" s="30">
        <f>'3a-SalesForecastYear1'!M38</f>
        <v>0</v>
      </c>
      <c r="N20" s="30">
        <f>'3a-SalesForecastYear1'!N38</f>
        <v>0</v>
      </c>
      <c r="O20" s="36">
        <f t="shared" si="2"/>
        <v>0</v>
      </c>
    </row>
    <row r="21" spans="2:15" x14ac:dyDescent="0.15">
      <c r="B21" s="195" t="str">
        <f>'3a-SalesForecastYear1'!B41</f>
        <v xml:space="preserve"> </v>
      </c>
      <c r="C21" s="30">
        <f>'3a-SalesForecastYear1'!C44</f>
        <v>0</v>
      </c>
      <c r="D21" s="30">
        <f>'3a-SalesForecastYear1'!D44</f>
        <v>0</v>
      </c>
      <c r="E21" s="30">
        <f>'3a-SalesForecastYear1'!E44</f>
        <v>0</v>
      </c>
      <c r="F21" s="30">
        <f>'3a-SalesForecastYear1'!F44</f>
        <v>0</v>
      </c>
      <c r="G21" s="30">
        <f>'3a-SalesForecastYear1'!G44</f>
        <v>0</v>
      </c>
      <c r="H21" s="30">
        <f>'3a-SalesForecastYear1'!H44</f>
        <v>0</v>
      </c>
      <c r="I21" s="30">
        <f>'3a-SalesForecastYear1'!I44</f>
        <v>0</v>
      </c>
      <c r="J21" s="30">
        <f>'3a-SalesForecastYear1'!J44</f>
        <v>0</v>
      </c>
      <c r="K21" s="30">
        <f>'3a-SalesForecastYear1'!K44</f>
        <v>0</v>
      </c>
      <c r="L21" s="30">
        <f>'3a-SalesForecastYear1'!L44</f>
        <v>0</v>
      </c>
      <c r="M21" s="30">
        <f>'3a-SalesForecastYear1'!M44</f>
        <v>0</v>
      </c>
      <c r="N21" s="30">
        <f>'3a-SalesForecastYear1'!N44</f>
        <v>0</v>
      </c>
      <c r="O21" s="36">
        <f t="shared" si="2"/>
        <v>0</v>
      </c>
    </row>
    <row r="22" spans="2:15" x14ac:dyDescent="0.15">
      <c r="B22" s="195" t="str">
        <f>'3a-SalesForecastYear1'!B47</f>
        <v xml:space="preserve"> </v>
      </c>
      <c r="C22" s="30">
        <f>'3a-SalesForecastYear1'!C50</f>
        <v>0</v>
      </c>
      <c r="D22" s="30">
        <f>'3a-SalesForecastYear1'!D50</f>
        <v>0</v>
      </c>
      <c r="E22" s="30">
        <f>'3a-SalesForecastYear1'!E50</f>
        <v>0</v>
      </c>
      <c r="F22" s="30">
        <f>'3a-SalesForecastYear1'!F50</f>
        <v>0</v>
      </c>
      <c r="G22" s="30">
        <f>'3a-SalesForecastYear1'!G50</f>
        <v>0</v>
      </c>
      <c r="H22" s="30">
        <f>'3a-SalesForecastYear1'!H50</f>
        <v>0</v>
      </c>
      <c r="I22" s="30">
        <f>'3a-SalesForecastYear1'!I50</f>
        <v>0</v>
      </c>
      <c r="J22" s="30">
        <f>'3a-SalesForecastYear1'!J50</f>
        <v>0</v>
      </c>
      <c r="K22" s="30">
        <f>'3a-SalesForecastYear1'!K50</f>
        <v>0</v>
      </c>
      <c r="L22" s="30">
        <f>'3a-SalesForecastYear1'!L50</f>
        <v>0</v>
      </c>
      <c r="M22" s="30">
        <f>'3a-SalesForecastYear1'!M50</f>
        <v>0</v>
      </c>
      <c r="N22" s="30">
        <f>'3a-SalesForecastYear1'!N50</f>
        <v>0</v>
      </c>
      <c r="O22" s="36">
        <f t="shared" si="2"/>
        <v>0</v>
      </c>
    </row>
    <row r="23" spans="2:15" x14ac:dyDescent="0.15">
      <c r="B23" s="197" t="s">
        <v>105</v>
      </c>
      <c r="C23" s="36">
        <f>SUM(C17:C22)</f>
        <v>1362.1399999999999</v>
      </c>
      <c r="D23" s="36">
        <f t="shared" ref="D23:N23" si="3">SUM(D17:D22)</f>
        <v>1498.354</v>
      </c>
      <c r="E23" s="36">
        <f t="shared" si="3"/>
        <v>1648.1893999999998</v>
      </c>
      <c r="F23" s="36">
        <f t="shared" si="3"/>
        <v>1747.0807639999998</v>
      </c>
      <c r="G23" s="36">
        <f t="shared" si="3"/>
        <v>1851.9056098399997</v>
      </c>
      <c r="H23" s="36">
        <f t="shared" si="3"/>
        <v>1963.0199464303998</v>
      </c>
      <c r="I23" s="36">
        <f t="shared" si="3"/>
        <v>2041.540744287616</v>
      </c>
      <c r="J23" s="36">
        <f t="shared" si="3"/>
        <v>2123.2023740591203</v>
      </c>
      <c r="K23" s="36">
        <f t="shared" si="3"/>
        <v>2208.1304690214852</v>
      </c>
      <c r="L23" s="36">
        <f t="shared" si="3"/>
        <v>2274.3743830921298</v>
      </c>
      <c r="M23" s="36">
        <f t="shared" si="3"/>
        <v>2342.6056145848938</v>
      </c>
      <c r="N23" s="36">
        <f t="shared" si="3"/>
        <v>2412.8837830224406</v>
      </c>
      <c r="O23" s="36">
        <f t="shared" si="2"/>
        <v>23473.427088338085</v>
      </c>
    </row>
    <row r="24" spans="2:15" x14ac:dyDescent="0.15">
      <c r="B24" s="47" t="s">
        <v>134</v>
      </c>
      <c r="C24" s="36">
        <f t="shared" ref="C24:N24" si="4">C15-C23</f>
        <v>5323.3600000000006</v>
      </c>
      <c r="D24" s="36">
        <f t="shared" si="4"/>
        <v>5855.6959999999999</v>
      </c>
      <c r="E24" s="36">
        <f t="shared" si="4"/>
        <v>6441.2656000000006</v>
      </c>
      <c r="F24" s="36">
        <f t="shared" si="4"/>
        <v>6827.7415359999995</v>
      </c>
      <c r="G24" s="36">
        <f t="shared" si="4"/>
        <v>7237.4060281599996</v>
      </c>
      <c r="H24" s="36">
        <f t="shared" si="4"/>
        <v>7671.6503898496003</v>
      </c>
      <c r="I24" s="36">
        <f t="shared" si="4"/>
        <v>7978.5164054435836</v>
      </c>
      <c r="J24" s="36">
        <f t="shared" si="4"/>
        <v>8297.657061661328</v>
      </c>
      <c r="K24" s="36">
        <f t="shared" si="4"/>
        <v>8629.5633441277805</v>
      </c>
      <c r="L24" s="36">
        <f t="shared" si="4"/>
        <v>8888.4502444516129</v>
      </c>
      <c r="M24" s="36">
        <f t="shared" si="4"/>
        <v>9155.1037517851619</v>
      </c>
      <c r="N24" s="36">
        <f t="shared" si="4"/>
        <v>9429.7568643387185</v>
      </c>
      <c r="O24" s="36">
        <f t="shared" si="2"/>
        <v>91736.1672258178</v>
      </c>
    </row>
    <row r="25" spans="2:15" x14ac:dyDescent="0.15">
      <c r="B25" s="47" t="s">
        <v>211</v>
      </c>
      <c r="C25" s="36">
        <f>'2a-PayrollYear1'!F25</f>
        <v>2021.0541666666666</v>
      </c>
      <c r="D25" s="36">
        <f>'2a-PayrollYear1'!G25</f>
        <v>2021.0541666666666</v>
      </c>
      <c r="E25" s="36">
        <f>'2a-PayrollYear1'!H25</f>
        <v>2021.0541666666666</v>
      </c>
      <c r="F25" s="36">
        <f>'2a-PayrollYear1'!I25</f>
        <v>2021.0541666666666</v>
      </c>
      <c r="G25" s="36">
        <f>'2a-PayrollYear1'!J25</f>
        <v>2021.0541666666666</v>
      </c>
      <c r="H25" s="36">
        <f>'2a-PayrollYear1'!K25</f>
        <v>2021.0541666666666</v>
      </c>
      <c r="I25" s="36">
        <f>'2a-PayrollYear1'!L25</f>
        <v>2021.0541666666666</v>
      </c>
      <c r="J25" s="36">
        <f>'2a-PayrollYear1'!M25</f>
        <v>2021.0541666666666</v>
      </c>
      <c r="K25" s="36">
        <f>'2a-PayrollYear1'!N25</f>
        <v>2021.0541666666666</v>
      </c>
      <c r="L25" s="36">
        <f>'2a-PayrollYear1'!O25</f>
        <v>2021.0541666666666</v>
      </c>
      <c r="M25" s="36">
        <f>'2a-PayrollYear1'!P25</f>
        <v>2021.0541666666666</v>
      </c>
      <c r="N25" s="36">
        <f>'2a-PayrollYear1'!Q25</f>
        <v>2021.0541666666666</v>
      </c>
      <c r="O25" s="36">
        <f t="shared" si="2"/>
        <v>24252.649999999994</v>
      </c>
    </row>
    <row r="26" spans="2:15" x14ac:dyDescent="0.15">
      <c r="B26" s="47" t="s">
        <v>135</v>
      </c>
      <c r="C26" s="7"/>
      <c r="D26" s="7"/>
      <c r="E26" s="7"/>
      <c r="F26" s="7"/>
      <c r="G26" s="7"/>
      <c r="H26" s="7"/>
      <c r="I26" s="7"/>
      <c r="J26" s="7"/>
      <c r="K26" s="7"/>
      <c r="L26" s="7"/>
      <c r="M26" s="7"/>
      <c r="N26" s="7"/>
      <c r="O26" s="36"/>
    </row>
    <row r="27" spans="2:15" x14ac:dyDescent="0.15">
      <c r="B27" s="184" t="str">
        <f>'5a-OpExYear1'!B10</f>
        <v>Advertising</v>
      </c>
      <c r="C27" s="30">
        <f>'5a-OpExYear1'!C10</f>
        <v>100</v>
      </c>
      <c r="D27" s="30">
        <f>'5a-OpExYear1'!D10</f>
        <v>100</v>
      </c>
      <c r="E27" s="30">
        <f>'5a-OpExYear1'!E10</f>
        <v>100</v>
      </c>
      <c r="F27" s="30">
        <f>'5a-OpExYear1'!F10</f>
        <v>200</v>
      </c>
      <c r="G27" s="30">
        <f>'5a-OpExYear1'!G10</f>
        <v>200</v>
      </c>
      <c r="H27" s="30">
        <f>'5a-OpExYear1'!H10</f>
        <v>200</v>
      </c>
      <c r="I27" s="30">
        <f>'5a-OpExYear1'!I10</f>
        <v>200</v>
      </c>
      <c r="J27" s="30">
        <f>'5a-OpExYear1'!J10</f>
        <v>200</v>
      </c>
      <c r="K27" s="30">
        <f>'5a-OpExYear1'!K10</f>
        <v>200</v>
      </c>
      <c r="L27" s="30">
        <f>'5a-OpExYear1'!L10</f>
        <v>200</v>
      </c>
      <c r="M27" s="30">
        <f>'5a-OpExYear1'!M10</f>
        <v>200</v>
      </c>
      <c r="N27" s="30">
        <f>'5a-OpExYear1'!N10</f>
        <v>200</v>
      </c>
      <c r="O27" s="36">
        <f>SUM(C27:N27)</f>
        <v>2100</v>
      </c>
    </row>
    <row r="28" spans="2:15" x14ac:dyDescent="0.15">
      <c r="B28" s="184" t="str">
        <f>'5a-OpExYear1'!B11</f>
        <v>Car and Truck Expenses</v>
      </c>
      <c r="C28" s="30">
        <f>'5a-OpExYear1'!C11</f>
        <v>0</v>
      </c>
      <c r="D28" s="30">
        <f>'5a-OpExYear1'!D11</f>
        <v>0</v>
      </c>
      <c r="E28" s="30">
        <f>'5a-OpExYear1'!E11</f>
        <v>0</v>
      </c>
      <c r="F28" s="30">
        <f>'5a-OpExYear1'!F11</f>
        <v>0</v>
      </c>
      <c r="G28" s="30">
        <f>'5a-OpExYear1'!G11</f>
        <v>0</v>
      </c>
      <c r="H28" s="30">
        <f>'5a-OpExYear1'!H11</f>
        <v>0</v>
      </c>
      <c r="I28" s="30">
        <f>'5a-OpExYear1'!I11</f>
        <v>0</v>
      </c>
      <c r="J28" s="30">
        <f>'5a-OpExYear1'!J11</f>
        <v>0</v>
      </c>
      <c r="K28" s="30">
        <f>'5a-OpExYear1'!K11</f>
        <v>0</v>
      </c>
      <c r="L28" s="30">
        <f>'5a-OpExYear1'!L11</f>
        <v>0</v>
      </c>
      <c r="M28" s="30">
        <f>'5a-OpExYear1'!M11</f>
        <v>0</v>
      </c>
      <c r="N28" s="30">
        <f>'5a-OpExYear1'!N11</f>
        <v>0</v>
      </c>
      <c r="O28" s="36">
        <f t="shared" ref="O28:O45" si="5">SUM(C28:N28)</f>
        <v>0</v>
      </c>
    </row>
    <row r="29" spans="2:15" x14ac:dyDescent="0.15">
      <c r="B29" s="184" t="str">
        <f>'5a-OpExYear1'!B12</f>
        <v>Commissions and Fees</v>
      </c>
      <c r="C29" s="30">
        <f>'5a-OpExYear1'!C12</f>
        <v>0</v>
      </c>
      <c r="D29" s="30">
        <f>'5a-OpExYear1'!D12</f>
        <v>0</v>
      </c>
      <c r="E29" s="30">
        <f>'5a-OpExYear1'!E12</f>
        <v>0</v>
      </c>
      <c r="F29" s="30">
        <f>'5a-OpExYear1'!F12</f>
        <v>0</v>
      </c>
      <c r="G29" s="30">
        <f>'5a-OpExYear1'!G12</f>
        <v>0</v>
      </c>
      <c r="H29" s="30">
        <f>'5a-OpExYear1'!H12</f>
        <v>0</v>
      </c>
      <c r="I29" s="30">
        <f>'5a-OpExYear1'!I12</f>
        <v>0</v>
      </c>
      <c r="J29" s="30">
        <f>'5a-OpExYear1'!J12</f>
        <v>0</v>
      </c>
      <c r="K29" s="30">
        <f>'5a-OpExYear1'!K12</f>
        <v>0</v>
      </c>
      <c r="L29" s="30">
        <f>'5a-OpExYear1'!L12</f>
        <v>0</v>
      </c>
      <c r="M29" s="30">
        <f>'5a-OpExYear1'!M12</f>
        <v>0</v>
      </c>
      <c r="N29" s="30">
        <f>'5a-OpExYear1'!N12</f>
        <v>0</v>
      </c>
      <c r="O29" s="36">
        <f t="shared" si="5"/>
        <v>0</v>
      </c>
    </row>
    <row r="30" spans="2:15" x14ac:dyDescent="0.15">
      <c r="B30" s="184" t="str">
        <f>'5a-OpExYear1'!B13</f>
        <v>Contract Labor (Not included in payroll)</v>
      </c>
      <c r="C30" s="30">
        <f>'5a-OpExYear1'!C13</f>
        <v>0</v>
      </c>
      <c r="D30" s="30">
        <f>'5a-OpExYear1'!D13</f>
        <v>0</v>
      </c>
      <c r="E30" s="30">
        <f>'5a-OpExYear1'!E13</f>
        <v>0</v>
      </c>
      <c r="F30" s="30">
        <f>'5a-OpExYear1'!F13</f>
        <v>0</v>
      </c>
      <c r="G30" s="30">
        <f>'5a-OpExYear1'!G13</f>
        <v>0</v>
      </c>
      <c r="H30" s="30">
        <f>'5a-OpExYear1'!H13</f>
        <v>0</v>
      </c>
      <c r="I30" s="30">
        <f>'5a-OpExYear1'!I13</f>
        <v>0</v>
      </c>
      <c r="J30" s="30">
        <f>'5a-OpExYear1'!J13</f>
        <v>0</v>
      </c>
      <c r="K30" s="30">
        <f>'5a-OpExYear1'!K13</f>
        <v>0</v>
      </c>
      <c r="L30" s="30">
        <f>'5a-OpExYear1'!L13</f>
        <v>0</v>
      </c>
      <c r="M30" s="30">
        <f>'5a-OpExYear1'!M13</f>
        <v>0</v>
      </c>
      <c r="N30" s="30">
        <f>'5a-OpExYear1'!N13</f>
        <v>0</v>
      </c>
      <c r="O30" s="36">
        <f t="shared" si="5"/>
        <v>0</v>
      </c>
    </row>
    <row r="31" spans="2:15" x14ac:dyDescent="0.15">
      <c r="B31" s="184" t="str">
        <f>'5a-OpExYear1'!B14</f>
        <v>Insurance (other than health)</v>
      </c>
      <c r="C31" s="30">
        <f>'5a-OpExYear1'!C14</f>
        <v>0</v>
      </c>
      <c r="D31" s="30">
        <f>'5a-OpExYear1'!D14</f>
        <v>0</v>
      </c>
      <c r="E31" s="30">
        <f>'5a-OpExYear1'!E14</f>
        <v>0</v>
      </c>
      <c r="F31" s="30">
        <f>'5a-OpExYear1'!F14</f>
        <v>0</v>
      </c>
      <c r="G31" s="30">
        <f>'5a-OpExYear1'!G14</f>
        <v>0</v>
      </c>
      <c r="H31" s="30">
        <f>'5a-OpExYear1'!H14</f>
        <v>0</v>
      </c>
      <c r="I31" s="30">
        <f>'5a-OpExYear1'!I14</f>
        <v>0</v>
      </c>
      <c r="J31" s="30">
        <f>'5a-OpExYear1'!J14</f>
        <v>0</v>
      </c>
      <c r="K31" s="30">
        <f>'5a-OpExYear1'!K14</f>
        <v>0</v>
      </c>
      <c r="L31" s="30">
        <f>'5a-OpExYear1'!L14</f>
        <v>0</v>
      </c>
      <c r="M31" s="30">
        <f>'5a-OpExYear1'!M14</f>
        <v>0</v>
      </c>
      <c r="N31" s="30">
        <f>'5a-OpExYear1'!N14</f>
        <v>0</v>
      </c>
      <c r="O31" s="36">
        <f t="shared" si="5"/>
        <v>0</v>
      </c>
    </row>
    <row r="32" spans="2:15" x14ac:dyDescent="0.15">
      <c r="B32" s="184" t="str">
        <f>'5a-OpExYear1'!B15</f>
        <v>Legal and Professional Services</v>
      </c>
      <c r="C32" s="30">
        <f>'5a-OpExYear1'!C15</f>
        <v>0</v>
      </c>
      <c r="D32" s="30">
        <f>'5a-OpExYear1'!D15</f>
        <v>0</v>
      </c>
      <c r="E32" s="30">
        <f>'5a-OpExYear1'!E15</f>
        <v>0</v>
      </c>
      <c r="F32" s="30">
        <f>'5a-OpExYear1'!F15</f>
        <v>0</v>
      </c>
      <c r="G32" s="30">
        <f>'5a-OpExYear1'!G15</f>
        <v>0</v>
      </c>
      <c r="H32" s="30">
        <f>'5a-OpExYear1'!H15</f>
        <v>0</v>
      </c>
      <c r="I32" s="30">
        <f>'5a-OpExYear1'!I15</f>
        <v>0</v>
      </c>
      <c r="J32" s="30">
        <f>'5a-OpExYear1'!J15</f>
        <v>0</v>
      </c>
      <c r="K32" s="30">
        <f>'5a-OpExYear1'!K15</f>
        <v>0</v>
      </c>
      <c r="L32" s="30">
        <f>'5a-OpExYear1'!L15</f>
        <v>0</v>
      </c>
      <c r="M32" s="30">
        <f>'5a-OpExYear1'!M15</f>
        <v>0</v>
      </c>
      <c r="N32" s="30">
        <f>'5a-OpExYear1'!N15</f>
        <v>0</v>
      </c>
      <c r="O32" s="36">
        <f t="shared" si="5"/>
        <v>0</v>
      </c>
    </row>
    <row r="33" spans="2:15" x14ac:dyDescent="0.15">
      <c r="B33" s="184" t="str">
        <f>'5a-OpExYear1'!B16</f>
        <v>Licenses</v>
      </c>
      <c r="C33" s="30">
        <f>'5a-OpExYear1'!C16</f>
        <v>0</v>
      </c>
      <c r="D33" s="30">
        <f>'5a-OpExYear1'!D16</f>
        <v>0</v>
      </c>
      <c r="E33" s="30">
        <f>'5a-OpExYear1'!E16</f>
        <v>0</v>
      </c>
      <c r="F33" s="30">
        <f>'5a-OpExYear1'!F16</f>
        <v>0</v>
      </c>
      <c r="G33" s="30">
        <f>'5a-OpExYear1'!G16</f>
        <v>0</v>
      </c>
      <c r="H33" s="30">
        <f>'5a-OpExYear1'!H16</f>
        <v>0</v>
      </c>
      <c r="I33" s="30">
        <f>'5a-OpExYear1'!I16</f>
        <v>0</v>
      </c>
      <c r="J33" s="30">
        <f>'5a-OpExYear1'!J16</f>
        <v>0</v>
      </c>
      <c r="K33" s="30">
        <f>'5a-OpExYear1'!K16</f>
        <v>0</v>
      </c>
      <c r="L33" s="30">
        <f>'5a-OpExYear1'!L16</f>
        <v>0</v>
      </c>
      <c r="M33" s="30">
        <f>'5a-OpExYear1'!M16</f>
        <v>0</v>
      </c>
      <c r="N33" s="30">
        <f>'5a-OpExYear1'!N16</f>
        <v>0</v>
      </c>
      <c r="O33" s="36">
        <f t="shared" si="5"/>
        <v>0</v>
      </c>
    </row>
    <row r="34" spans="2:15" x14ac:dyDescent="0.15">
      <c r="B34" s="184" t="str">
        <f>'5a-OpExYear1'!B17</f>
        <v>Office Expense</v>
      </c>
      <c r="C34" s="30">
        <f>'5a-OpExYear1'!C17</f>
        <v>0</v>
      </c>
      <c r="D34" s="30">
        <f>'5a-OpExYear1'!D17</f>
        <v>0</v>
      </c>
      <c r="E34" s="30">
        <f>'5a-OpExYear1'!E17</f>
        <v>0</v>
      </c>
      <c r="F34" s="30">
        <f>'5a-OpExYear1'!F17</f>
        <v>0</v>
      </c>
      <c r="G34" s="30">
        <f>'5a-OpExYear1'!G17</f>
        <v>0</v>
      </c>
      <c r="H34" s="30">
        <f>'5a-OpExYear1'!H17</f>
        <v>0</v>
      </c>
      <c r="I34" s="30">
        <f>'5a-OpExYear1'!I17</f>
        <v>0</v>
      </c>
      <c r="J34" s="30">
        <f>'5a-OpExYear1'!J17</f>
        <v>0</v>
      </c>
      <c r="K34" s="30">
        <f>'5a-OpExYear1'!K17</f>
        <v>0</v>
      </c>
      <c r="L34" s="30">
        <f>'5a-OpExYear1'!L17</f>
        <v>0</v>
      </c>
      <c r="M34" s="30">
        <f>'5a-OpExYear1'!M17</f>
        <v>0</v>
      </c>
      <c r="N34" s="30">
        <f>'5a-OpExYear1'!N17</f>
        <v>0</v>
      </c>
      <c r="O34" s="36">
        <f t="shared" si="5"/>
        <v>0</v>
      </c>
    </row>
    <row r="35" spans="2:15" x14ac:dyDescent="0.15">
      <c r="B35" s="184" t="str">
        <f>'5a-OpExYear1'!B18</f>
        <v>Rent or Lease -- Vehicles, Machinery, Equipment</v>
      </c>
      <c r="C35" s="30">
        <f>'5a-OpExYear1'!C18</f>
        <v>0</v>
      </c>
      <c r="D35" s="30">
        <f>'5a-OpExYear1'!D18</f>
        <v>0</v>
      </c>
      <c r="E35" s="30">
        <f>'5a-OpExYear1'!E18</f>
        <v>0</v>
      </c>
      <c r="F35" s="30">
        <f>'5a-OpExYear1'!F18</f>
        <v>0</v>
      </c>
      <c r="G35" s="30">
        <f>'5a-OpExYear1'!G18</f>
        <v>0</v>
      </c>
      <c r="H35" s="30">
        <f>'5a-OpExYear1'!H18</f>
        <v>0</v>
      </c>
      <c r="I35" s="30">
        <f>'5a-OpExYear1'!I18</f>
        <v>0</v>
      </c>
      <c r="J35" s="30">
        <f>'5a-OpExYear1'!J18</f>
        <v>0</v>
      </c>
      <c r="K35" s="30">
        <f>'5a-OpExYear1'!K18</f>
        <v>0</v>
      </c>
      <c r="L35" s="30">
        <f>'5a-OpExYear1'!L18</f>
        <v>0</v>
      </c>
      <c r="M35" s="30">
        <f>'5a-OpExYear1'!M18</f>
        <v>0</v>
      </c>
      <c r="N35" s="30">
        <f>'5a-OpExYear1'!N18</f>
        <v>0</v>
      </c>
      <c r="O35" s="36">
        <f t="shared" si="5"/>
        <v>0</v>
      </c>
    </row>
    <row r="36" spans="2:15" x14ac:dyDescent="0.15">
      <c r="B36" s="184" t="str">
        <f>'5a-OpExYear1'!B19</f>
        <v>Rent or Lease -- Other Business Property</v>
      </c>
      <c r="C36" s="30">
        <f>'5a-OpExYear1'!C19</f>
        <v>0</v>
      </c>
      <c r="D36" s="30">
        <f>'5a-OpExYear1'!D19</f>
        <v>0</v>
      </c>
      <c r="E36" s="30">
        <f>'5a-OpExYear1'!E19</f>
        <v>0</v>
      </c>
      <c r="F36" s="30">
        <f>'5a-OpExYear1'!F19</f>
        <v>0</v>
      </c>
      <c r="G36" s="30">
        <f>'5a-OpExYear1'!G19</f>
        <v>0</v>
      </c>
      <c r="H36" s="30">
        <f>'5a-OpExYear1'!H19</f>
        <v>0</v>
      </c>
      <c r="I36" s="30">
        <f>'5a-OpExYear1'!I19</f>
        <v>0</v>
      </c>
      <c r="J36" s="30">
        <f>'5a-OpExYear1'!J19</f>
        <v>0</v>
      </c>
      <c r="K36" s="30">
        <f>'5a-OpExYear1'!K19</f>
        <v>0</v>
      </c>
      <c r="L36" s="30">
        <f>'5a-OpExYear1'!L19</f>
        <v>0</v>
      </c>
      <c r="M36" s="30">
        <f>'5a-OpExYear1'!M19</f>
        <v>0</v>
      </c>
      <c r="N36" s="30">
        <f>'5a-OpExYear1'!N19</f>
        <v>0</v>
      </c>
      <c r="O36" s="36">
        <f t="shared" si="5"/>
        <v>0</v>
      </c>
    </row>
    <row r="37" spans="2:15" x14ac:dyDescent="0.15">
      <c r="B37" s="184" t="str">
        <f>'5a-OpExYear1'!B20</f>
        <v>Repairs and Maintenance</v>
      </c>
      <c r="C37" s="30">
        <f>'5a-OpExYear1'!C20</f>
        <v>0</v>
      </c>
      <c r="D37" s="30">
        <f>'5a-OpExYear1'!D20</f>
        <v>0</v>
      </c>
      <c r="E37" s="30">
        <f>'5a-OpExYear1'!E20</f>
        <v>0</v>
      </c>
      <c r="F37" s="30">
        <f>'5a-OpExYear1'!F20</f>
        <v>0</v>
      </c>
      <c r="G37" s="30">
        <f>'5a-OpExYear1'!G20</f>
        <v>0</v>
      </c>
      <c r="H37" s="30">
        <f>'5a-OpExYear1'!H20</f>
        <v>0</v>
      </c>
      <c r="I37" s="30">
        <f>'5a-OpExYear1'!I20</f>
        <v>0</v>
      </c>
      <c r="J37" s="30">
        <f>'5a-OpExYear1'!J20</f>
        <v>0</v>
      </c>
      <c r="K37" s="30">
        <f>'5a-OpExYear1'!K20</f>
        <v>0</v>
      </c>
      <c r="L37" s="30">
        <f>'5a-OpExYear1'!L20</f>
        <v>0</v>
      </c>
      <c r="M37" s="30">
        <f>'5a-OpExYear1'!M20</f>
        <v>0</v>
      </c>
      <c r="N37" s="30">
        <f>'5a-OpExYear1'!N20</f>
        <v>1000</v>
      </c>
      <c r="O37" s="36">
        <f t="shared" si="5"/>
        <v>1000</v>
      </c>
    </row>
    <row r="38" spans="2:15" x14ac:dyDescent="0.15">
      <c r="B38" s="184" t="str">
        <f>'5a-OpExYear1'!B21</f>
        <v>Supplies</v>
      </c>
      <c r="C38" s="30">
        <f>'5a-OpExYear1'!C21</f>
        <v>0</v>
      </c>
      <c r="D38" s="30">
        <f>'5a-OpExYear1'!D21</f>
        <v>0</v>
      </c>
      <c r="E38" s="30">
        <f>'5a-OpExYear1'!E21</f>
        <v>0</v>
      </c>
      <c r="F38" s="30">
        <f>'5a-OpExYear1'!F21</f>
        <v>0</v>
      </c>
      <c r="G38" s="30">
        <f>'5a-OpExYear1'!G21</f>
        <v>0</v>
      </c>
      <c r="H38" s="30">
        <f>'5a-OpExYear1'!H21</f>
        <v>0</v>
      </c>
      <c r="I38" s="30">
        <f>'5a-OpExYear1'!I21</f>
        <v>0</v>
      </c>
      <c r="J38" s="30">
        <f>'5a-OpExYear1'!J21</f>
        <v>0</v>
      </c>
      <c r="K38" s="30">
        <f>'5a-OpExYear1'!K21</f>
        <v>0</v>
      </c>
      <c r="L38" s="30">
        <f>'5a-OpExYear1'!L21</f>
        <v>0</v>
      </c>
      <c r="M38" s="30">
        <f>'5a-OpExYear1'!M21</f>
        <v>0</v>
      </c>
      <c r="N38" s="30">
        <f>'5a-OpExYear1'!N21</f>
        <v>0</v>
      </c>
      <c r="O38" s="36">
        <f t="shared" si="5"/>
        <v>0</v>
      </c>
    </row>
    <row r="39" spans="2:15" x14ac:dyDescent="0.15">
      <c r="B39" s="184" t="str">
        <f>'5a-OpExYear1'!B22</f>
        <v>Travel, Meals and Entertainment</v>
      </c>
      <c r="C39" s="30">
        <f>'5a-OpExYear1'!C22</f>
        <v>50</v>
      </c>
      <c r="D39" s="30">
        <f>'5a-OpExYear1'!D22</f>
        <v>50</v>
      </c>
      <c r="E39" s="30">
        <f>'5a-OpExYear1'!E22</f>
        <v>50</v>
      </c>
      <c r="F39" s="30">
        <f>'5a-OpExYear1'!F22</f>
        <v>50</v>
      </c>
      <c r="G39" s="30">
        <f>'5a-OpExYear1'!G22</f>
        <v>50</v>
      </c>
      <c r="H39" s="30">
        <f>'5a-OpExYear1'!H22</f>
        <v>50</v>
      </c>
      <c r="I39" s="30">
        <f>'5a-OpExYear1'!I22</f>
        <v>50</v>
      </c>
      <c r="J39" s="30">
        <f>'5a-OpExYear1'!J22</f>
        <v>50</v>
      </c>
      <c r="K39" s="30">
        <f>'5a-OpExYear1'!K22</f>
        <v>50</v>
      </c>
      <c r="L39" s="30">
        <f>'5a-OpExYear1'!L22</f>
        <v>50</v>
      </c>
      <c r="M39" s="30">
        <f>'5a-OpExYear1'!M22</f>
        <v>50</v>
      </c>
      <c r="N39" s="30">
        <f>'5a-OpExYear1'!N22</f>
        <v>50</v>
      </c>
      <c r="O39" s="36">
        <f t="shared" si="5"/>
        <v>600</v>
      </c>
    </row>
    <row r="40" spans="2:15" x14ac:dyDescent="0.15">
      <c r="B40" s="184" t="str">
        <f>'5a-OpExYear1'!B23</f>
        <v>Utilities</v>
      </c>
      <c r="C40" s="30">
        <f>'5a-OpExYear1'!C23</f>
        <v>0</v>
      </c>
      <c r="D40" s="30">
        <f>'5a-OpExYear1'!D23</f>
        <v>0</v>
      </c>
      <c r="E40" s="30">
        <f>'5a-OpExYear1'!E23</f>
        <v>0</v>
      </c>
      <c r="F40" s="30">
        <f>'5a-OpExYear1'!F23</f>
        <v>0</v>
      </c>
      <c r="G40" s="30">
        <f>'5a-OpExYear1'!G23</f>
        <v>0</v>
      </c>
      <c r="H40" s="30">
        <f>'5a-OpExYear1'!H23</f>
        <v>0</v>
      </c>
      <c r="I40" s="30">
        <f>'5a-OpExYear1'!I23</f>
        <v>0</v>
      </c>
      <c r="J40" s="30">
        <f>'5a-OpExYear1'!J23</f>
        <v>0</v>
      </c>
      <c r="K40" s="30">
        <f>'5a-OpExYear1'!K23</f>
        <v>0</v>
      </c>
      <c r="L40" s="30">
        <f>'5a-OpExYear1'!L23</f>
        <v>0</v>
      </c>
      <c r="M40" s="30">
        <f>'5a-OpExYear1'!M23</f>
        <v>0</v>
      </c>
      <c r="N40" s="30">
        <f>'5a-OpExYear1'!N23</f>
        <v>0</v>
      </c>
      <c r="O40" s="36">
        <f t="shared" si="5"/>
        <v>0</v>
      </c>
    </row>
    <row r="41" spans="2:15" x14ac:dyDescent="0.15">
      <c r="B41" s="184" t="str">
        <f>'5a-OpExYear1'!B24</f>
        <v xml:space="preserve">Miscellaneous </v>
      </c>
      <c r="C41" s="30">
        <f>'5a-OpExYear1'!C24</f>
        <v>0</v>
      </c>
      <c r="D41" s="30">
        <f>'5a-OpExYear1'!D24</f>
        <v>0</v>
      </c>
      <c r="E41" s="30">
        <f>'5a-OpExYear1'!E24</f>
        <v>0</v>
      </c>
      <c r="F41" s="30">
        <f>'5a-OpExYear1'!F24</f>
        <v>0</v>
      </c>
      <c r="G41" s="30">
        <f>'5a-OpExYear1'!G24</f>
        <v>0</v>
      </c>
      <c r="H41" s="30">
        <f>'5a-OpExYear1'!H24</f>
        <v>0</v>
      </c>
      <c r="I41" s="30">
        <f>'5a-OpExYear1'!I24</f>
        <v>0</v>
      </c>
      <c r="J41" s="30">
        <f>'5a-OpExYear1'!J24</f>
        <v>0</v>
      </c>
      <c r="K41" s="30">
        <f>'5a-OpExYear1'!K24</f>
        <v>0</v>
      </c>
      <c r="L41" s="30">
        <f>'5a-OpExYear1'!L24</f>
        <v>0</v>
      </c>
      <c r="M41" s="30">
        <f>'5a-OpExYear1'!M24</f>
        <v>0</v>
      </c>
      <c r="N41" s="30">
        <f>'5a-OpExYear1'!N24</f>
        <v>0</v>
      </c>
      <c r="O41" s="36">
        <f t="shared" si="5"/>
        <v>0</v>
      </c>
    </row>
    <row r="42" spans="2:15" x14ac:dyDescent="0.15">
      <c r="B42" s="198" t="s">
        <v>273</v>
      </c>
      <c r="C42" s="30"/>
      <c r="D42" s="30"/>
      <c r="E42" s="30"/>
      <c r="F42" s="30"/>
      <c r="G42" s="30"/>
      <c r="H42" s="30"/>
      <c r="I42" s="30"/>
      <c r="J42" s="30"/>
      <c r="K42" s="30"/>
      <c r="L42" s="30"/>
      <c r="M42" s="30"/>
      <c r="N42" s="30"/>
      <c r="O42" s="36"/>
    </row>
    <row r="43" spans="2:15" x14ac:dyDescent="0.15">
      <c r="B43" s="198" t="s">
        <v>274</v>
      </c>
      <c r="C43" s="30"/>
      <c r="D43" s="30"/>
      <c r="E43" s="30"/>
      <c r="F43" s="30"/>
      <c r="G43" s="30"/>
      <c r="H43" s="30"/>
      <c r="I43" s="30"/>
      <c r="J43" s="30"/>
      <c r="K43" s="30"/>
      <c r="L43" s="30"/>
      <c r="M43" s="30"/>
      <c r="N43" s="30"/>
      <c r="O43" s="36"/>
    </row>
    <row r="44" spans="2:15" x14ac:dyDescent="0.15">
      <c r="B44" s="199" t="s">
        <v>227</v>
      </c>
      <c r="C44" s="36">
        <f>SUM(C27:C43)</f>
        <v>150</v>
      </c>
      <c r="D44" s="36">
        <f t="shared" ref="D44:N44" si="6">SUM(D27:D43)</f>
        <v>150</v>
      </c>
      <c r="E44" s="36">
        <f t="shared" si="6"/>
        <v>150</v>
      </c>
      <c r="F44" s="36">
        <f t="shared" si="6"/>
        <v>250</v>
      </c>
      <c r="G44" s="36">
        <f t="shared" si="6"/>
        <v>250</v>
      </c>
      <c r="H44" s="36">
        <f t="shared" si="6"/>
        <v>250</v>
      </c>
      <c r="I44" s="36">
        <f t="shared" si="6"/>
        <v>250</v>
      </c>
      <c r="J44" s="36">
        <f t="shared" si="6"/>
        <v>250</v>
      </c>
      <c r="K44" s="36">
        <f t="shared" si="6"/>
        <v>250</v>
      </c>
      <c r="L44" s="36">
        <f t="shared" si="6"/>
        <v>250</v>
      </c>
      <c r="M44" s="36">
        <f t="shared" si="6"/>
        <v>250</v>
      </c>
      <c r="N44" s="36">
        <f t="shared" si="6"/>
        <v>1250</v>
      </c>
      <c r="O44" s="36">
        <f t="shared" si="5"/>
        <v>3700</v>
      </c>
    </row>
    <row r="45" spans="2:15" x14ac:dyDescent="0.15">
      <c r="B45" s="199" t="s">
        <v>345</v>
      </c>
      <c r="C45" s="36">
        <f>C24-C25-C44</f>
        <v>3152.3058333333338</v>
      </c>
      <c r="D45" s="36">
        <f t="shared" ref="D45:N45" si="7">+D24-D25-D44</f>
        <v>3684.6418333333331</v>
      </c>
      <c r="E45" s="36">
        <f t="shared" si="7"/>
        <v>4270.2114333333338</v>
      </c>
      <c r="F45" s="36">
        <f t="shared" si="7"/>
        <v>4556.6873693333328</v>
      </c>
      <c r="G45" s="36">
        <f t="shared" si="7"/>
        <v>4966.3518614933328</v>
      </c>
      <c r="H45" s="36">
        <f t="shared" si="7"/>
        <v>5400.5962231829335</v>
      </c>
      <c r="I45" s="36">
        <f t="shared" si="7"/>
        <v>5707.4622387769168</v>
      </c>
      <c r="J45" s="36">
        <f t="shared" si="7"/>
        <v>6026.6028949946613</v>
      </c>
      <c r="K45" s="36">
        <f t="shared" si="7"/>
        <v>6358.5091774611137</v>
      </c>
      <c r="L45" s="36">
        <f t="shared" si="7"/>
        <v>6617.3960777849461</v>
      </c>
      <c r="M45" s="36">
        <f t="shared" si="7"/>
        <v>6884.0495851184951</v>
      </c>
      <c r="N45" s="36">
        <f t="shared" si="7"/>
        <v>6158.7026976720517</v>
      </c>
      <c r="O45" s="36">
        <f t="shared" si="5"/>
        <v>63783.517225817777</v>
      </c>
    </row>
    <row r="46" spans="2:15" x14ac:dyDescent="0.15">
      <c r="B46" s="47" t="s">
        <v>142</v>
      </c>
      <c r="C46" s="7"/>
      <c r="D46" s="7"/>
      <c r="E46" s="7"/>
      <c r="F46" s="7"/>
      <c r="G46" s="7"/>
      <c r="H46" s="7"/>
      <c r="I46" s="7"/>
      <c r="J46" s="7"/>
      <c r="K46" s="7"/>
      <c r="L46" s="7"/>
      <c r="M46" s="7"/>
      <c r="N46" s="7"/>
      <c r="O46" s="36"/>
    </row>
    <row r="47" spans="2:15" x14ac:dyDescent="0.15">
      <c r="B47" s="200" t="s">
        <v>291</v>
      </c>
      <c r="C47" s="30">
        <f>+'Amortization&amp;Depreciation'!C138+'Amortization&amp;Depreciation'!C149</f>
        <v>250</v>
      </c>
      <c r="D47" s="30">
        <f>+'Amortization&amp;Depreciation'!D138+'Amortization&amp;Depreciation'!D149</f>
        <v>250</v>
      </c>
      <c r="E47" s="30">
        <f>+'Amortization&amp;Depreciation'!E138+'Amortization&amp;Depreciation'!E149</f>
        <v>250</v>
      </c>
      <c r="F47" s="30">
        <f>+'Amortization&amp;Depreciation'!F138+'Amortization&amp;Depreciation'!F149</f>
        <v>250</v>
      </c>
      <c r="G47" s="30">
        <f>+'Amortization&amp;Depreciation'!G138+'Amortization&amp;Depreciation'!G149</f>
        <v>250</v>
      </c>
      <c r="H47" s="30">
        <f>+'Amortization&amp;Depreciation'!H138+'Amortization&amp;Depreciation'!H149</f>
        <v>250</v>
      </c>
      <c r="I47" s="30">
        <f>+'Amortization&amp;Depreciation'!I138+'Amortization&amp;Depreciation'!I149</f>
        <v>250</v>
      </c>
      <c r="J47" s="30">
        <f>+'Amortization&amp;Depreciation'!J138+'Amortization&amp;Depreciation'!J149</f>
        <v>250</v>
      </c>
      <c r="K47" s="30">
        <f>+'Amortization&amp;Depreciation'!K138+'Amortization&amp;Depreciation'!K149</f>
        <v>250</v>
      </c>
      <c r="L47" s="30">
        <f>+'Amortization&amp;Depreciation'!L138+'Amortization&amp;Depreciation'!L149</f>
        <v>250</v>
      </c>
      <c r="M47" s="30">
        <f>+'Amortization&amp;Depreciation'!M138+'Amortization&amp;Depreciation'!M149</f>
        <v>250</v>
      </c>
      <c r="N47" s="30">
        <f>+'Amortization&amp;Depreciation'!N138+'Amortization&amp;Depreciation'!N149</f>
        <v>250</v>
      </c>
      <c r="O47" s="36">
        <f>SUM(C47:N47)</f>
        <v>3000</v>
      </c>
    </row>
    <row r="48" spans="2:15" x14ac:dyDescent="0.15">
      <c r="B48" s="200" t="s">
        <v>31</v>
      </c>
      <c r="C48" s="30">
        <f>'Amortization&amp;Depreciation'!C119</f>
        <v>2750</v>
      </c>
      <c r="D48" s="30">
        <f>+'Amortization&amp;Depreciation'!D119</f>
        <v>2750</v>
      </c>
      <c r="E48" s="30">
        <f>+'Amortization&amp;Depreciation'!E119</f>
        <v>2750</v>
      </c>
      <c r="F48" s="30">
        <f>+'Amortization&amp;Depreciation'!F119</f>
        <v>2750</v>
      </c>
      <c r="G48" s="30">
        <f>+'Amortization&amp;Depreciation'!G119</f>
        <v>2750</v>
      </c>
      <c r="H48" s="30">
        <f>+'Amortization&amp;Depreciation'!H119</f>
        <v>2750</v>
      </c>
      <c r="I48" s="30">
        <f>+'Amortization&amp;Depreciation'!I119</f>
        <v>2750</v>
      </c>
      <c r="J48" s="30">
        <f>+'Amortization&amp;Depreciation'!J119</f>
        <v>2750</v>
      </c>
      <c r="K48" s="30">
        <f>+'Amortization&amp;Depreciation'!K119</f>
        <v>2750</v>
      </c>
      <c r="L48" s="30">
        <f>+'Amortization&amp;Depreciation'!L119</f>
        <v>2750</v>
      </c>
      <c r="M48" s="30">
        <f>+'Amortization&amp;Depreciation'!M119</f>
        <v>2750</v>
      </c>
      <c r="N48" s="30">
        <f>+'Amortization&amp;Depreciation'!N119</f>
        <v>2750</v>
      </c>
      <c r="O48" s="36">
        <f>SUM(C48:N48)</f>
        <v>33000</v>
      </c>
    </row>
    <row r="49" spans="1:15" x14ac:dyDescent="0.15">
      <c r="B49" s="200" t="s">
        <v>58</v>
      </c>
      <c r="C49" s="7"/>
      <c r="D49" s="7"/>
      <c r="E49" s="7"/>
      <c r="F49" s="7"/>
      <c r="G49" s="7"/>
      <c r="H49" s="7"/>
      <c r="I49" s="7"/>
      <c r="J49" s="7"/>
      <c r="K49" s="7"/>
      <c r="L49" s="7"/>
      <c r="M49" s="7"/>
      <c r="N49" s="7"/>
      <c r="O49" s="36"/>
    </row>
    <row r="50" spans="1:15" x14ac:dyDescent="0.15">
      <c r="B50" s="201" t="s">
        <v>54</v>
      </c>
      <c r="C50" s="30">
        <f>+'Amortization&amp;Depreciation'!C15</f>
        <v>988.74999999999989</v>
      </c>
      <c r="D50" s="30">
        <f>+'Amortization&amp;Depreciation'!D15</f>
        <v>980.73057192420436</v>
      </c>
      <c r="E50" s="30">
        <f>+'Amortization&amp;Depreciation'!E15</f>
        <v>972.64097385274533</v>
      </c>
      <c r="F50" s="30">
        <f>+'Amortization&amp;Depreciation'!F15</f>
        <v>964.48059179816175</v>
      </c>
      <c r="G50" s="30">
        <f>+'Amortization&amp;Depreciation'!G15</f>
        <v>956.24880640059996</v>
      </c>
      <c r="H50" s="30">
        <f>+'Amortization&amp;Depreciation'!H15</f>
        <v>947.94499288080965</v>
      </c>
      <c r="I50" s="30">
        <f>+'Amortization&amp;Depreciation'!I15</f>
        <v>939.56852099272123</v>
      </c>
      <c r="J50" s="30">
        <f>+'Amortization&amp;Depreciation'!J15</f>
        <v>931.11875497561198</v>
      </c>
      <c r="K50" s="30">
        <f>+'Amortization&amp;Depreciation'!K15</f>
        <v>922.59505350585277</v>
      </c>
      <c r="L50" s="30">
        <f>+'Amortization&amp;Depreciation'!L15</f>
        <v>913.99676964823357</v>
      </c>
      <c r="M50" s="30">
        <f>+'Amortization&amp;Depreciation'!M15</f>
        <v>905.32325080685985</v>
      </c>
      <c r="N50" s="30">
        <f>+'Amortization&amp;Depreciation'!N15</f>
        <v>896.57383867562476</v>
      </c>
      <c r="O50" s="36">
        <f t="shared" ref="O50:O59" si="8">SUM(C50:N50)</f>
        <v>11319.972125461427</v>
      </c>
    </row>
    <row r="51" spans="1:15" x14ac:dyDescent="0.15">
      <c r="B51" s="201" t="s">
        <v>55</v>
      </c>
      <c r="C51" s="30">
        <f>+'Amortization&amp;Depreciation'!C35</f>
        <v>0</v>
      </c>
      <c r="D51" s="30">
        <f>+'Amortization&amp;Depreciation'!D35</f>
        <v>0</v>
      </c>
      <c r="E51" s="30">
        <f>+'Amortization&amp;Depreciation'!E35</f>
        <v>0</v>
      </c>
      <c r="F51" s="30">
        <f>+'Amortization&amp;Depreciation'!F35</f>
        <v>0</v>
      </c>
      <c r="G51" s="30">
        <f>+'Amortization&amp;Depreciation'!G35</f>
        <v>0</v>
      </c>
      <c r="H51" s="30">
        <f>+'Amortization&amp;Depreciation'!H35</f>
        <v>0</v>
      </c>
      <c r="I51" s="30">
        <f>+'Amortization&amp;Depreciation'!I35</f>
        <v>0</v>
      </c>
      <c r="J51" s="30">
        <f>+'Amortization&amp;Depreciation'!J35</f>
        <v>0</v>
      </c>
      <c r="K51" s="30">
        <f>+'Amortization&amp;Depreciation'!K35</f>
        <v>0</v>
      </c>
      <c r="L51" s="30">
        <f>+'Amortization&amp;Depreciation'!L35</f>
        <v>0</v>
      </c>
      <c r="M51" s="30">
        <f>+'Amortization&amp;Depreciation'!M35</f>
        <v>0</v>
      </c>
      <c r="N51" s="30">
        <f>+'Amortization&amp;Depreciation'!N35</f>
        <v>0</v>
      </c>
      <c r="O51" s="36">
        <f t="shared" si="8"/>
        <v>0</v>
      </c>
    </row>
    <row r="52" spans="1:15" x14ac:dyDescent="0.15">
      <c r="B52" s="201" t="s">
        <v>144</v>
      </c>
      <c r="C52" s="30">
        <f>+'Amortization&amp;Depreciation'!C55</f>
        <v>0</v>
      </c>
      <c r="D52" s="30">
        <f>+'Amortization&amp;Depreciation'!D55</f>
        <v>0</v>
      </c>
      <c r="E52" s="30">
        <f>+'Amortization&amp;Depreciation'!E55</f>
        <v>0</v>
      </c>
      <c r="F52" s="30">
        <f>+'Amortization&amp;Depreciation'!F55</f>
        <v>0</v>
      </c>
      <c r="G52" s="30">
        <f>+'Amortization&amp;Depreciation'!G55</f>
        <v>0</v>
      </c>
      <c r="H52" s="30">
        <f>+'Amortization&amp;Depreciation'!H55</f>
        <v>0</v>
      </c>
      <c r="I52" s="30">
        <f>+'Amortization&amp;Depreciation'!I55</f>
        <v>0</v>
      </c>
      <c r="J52" s="30">
        <f>+'Amortization&amp;Depreciation'!J55</f>
        <v>0</v>
      </c>
      <c r="K52" s="30">
        <f>+'Amortization&amp;Depreciation'!K55</f>
        <v>0</v>
      </c>
      <c r="L52" s="30">
        <f>+'Amortization&amp;Depreciation'!L55</f>
        <v>0</v>
      </c>
      <c r="M52" s="30">
        <f>+'Amortization&amp;Depreciation'!M55</f>
        <v>0</v>
      </c>
      <c r="N52" s="30">
        <f>+'Amortization&amp;Depreciation'!N55</f>
        <v>0</v>
      </c>
      <c r="O52" s="36">
        <f t="shared" si="8"/>
        <v>0</v>
      </c>
    </row>
    <row r="53" spans="1:15" x14ac:dyDescent="0.15">
      <c r="B53" s="201" t="s">
        <v>145</v>
      </c>
      <c r="C53" s="30">
        <f>+'Amortization&amp;Depreciation'!C75</f>
        <v>490</v>
      </c>
      <c r="D53" s="30">
        <f>+'Amortization&amp;Depreciation'!D75</f>
        <v>481.1246734487363</v>
      </c>
      <c r="E53" s="30">
        <f>+'Amortization&amp;Depreciation'!E75</f>
        <v>472.19757415925704</v>
      </c>
      <c r="F53" s="30">
        <f>+'Amortization&amp;Depreciation'!F75</f>
        <v>463.21840012392227</v>
      </c>
      <c r="G53" s="30">
        <f>+'Amortization&amp;Depreciation'!G75</f>
        <v>454.18684757338144</v>
      </c>
      <c r="H53" s="30">
        <f>+'Amortization&amp;Depreciation'!H75</f>
        <v>445.1026109662958</v>
      </c>
      <c r="I53" s="30">
        <f>+'Amortization&amp;Depreciation'!I75</f>
        <v>435.96538297900213</v>
      </c>
      <c r="J53" s="30">
        <f>+'Amortization&amp;Depreciation'!J75</f>
        <v>426.77485449511596</v>
      </c>
      <c r="K53" s="30">
        <f>+'Amortization&amp;Depreciation'!K75</f>
        <v>417.53071459507379</v>
      </c>
      <c r="L53" s="30">
        <f>+'Amortization&amp;Depreciation'!L75</f>
        <v>408.23265054561466</v>
      </c>
      <c r="M53" s="30">
        <f>+'Amortization&amp;Depreciation'!M75</f>
        <v>398.88034778920041</v>
      </c>
      <c r="N53" s="30">
        <f>+'Amortization&amp;Depreciation'!N75</f>
        <v>389.47348993337374</v>
      </c>
      <c r="O53" s="36">
        <f>SUM(C53:N53)</f>
        <v>5282.6875466089732</v>
      </c>
    </row>
    <row r="54" spans="1:15" x14ac:dyDescent="0.15">
      <c r="B54" s="201" t="s">
        <v>146</v>
      </c>
      <c r="C54" s="30">
        <f>+'Amortization&amp;Depreciation'!C95</f>
        <v>0</v>
      </c>
      <c r="D54" s="30">
        <f>+'Amortization&amp;Depreciation'!D95</f>
        <v>0</v>
      </c>
      <c r="E54" s="30">
        <f>+'Amortization&amp;Depreciation'!E95</f>
        <v>0</v>
      </c>
      <c r="F54" s="30">
        <f>+'Amortization&amp;Depreciation'!F95</f>
        <v>0</v>
      </c>
      <c r="G54" s="30">
        <f>+'Amortization&amp;Depreciation'!G95</f>
        <v>0</v>
      </c>
      <c r="H54" s="30">
        <f>+'Amortization&amp;Depreciation'!H95</f>
        <v>0</v>
      </c>
      <c r="I54" s="30">
        <f>+'Amortization&amp;Depreciation'!I95</f>
        <v>0</v>
      </c>
      <c r="J54" s="30">
        <f>+'Amortization&amp;Depreciation'!J95</f>
        <v>0</v>
      </c>
      <c r="K54" s="30">
        <f>+'Amortization&amp;Depreciation'!K95</f>
        <v>0</v>
      </c>
      <c r="L54" s="30">
        <f>+'Amortization&amp;Depreciation'!L95</f>
        <v>0</v>
      </c>
      <c r="M54" s="30">
        <f>+'Amortization&amp;Depreciation'!M95</f>
        <v>0</v>
      </c>
      <c r="N54" s="30">
        <f>+'Amortization&amp;Depreciation'!N95</f>
        <v>0</v>
      </c>
      <c r="O54" s="36">
        <f t="shared" si="8"/>
        <v>0</v>
      </c>
    </row>
    <row r="55" spans="1:15" x14ac:dyDescent="0.15">
      <c r="B55" s="201" t="s">
        <v>283</v>
      </c>
      <c r="C55" s="30">
        <f>'6a-CashFlowYear1'!C26</f>
        <v>0</v>
      </c>
      <c r="D55" s="30">
        <f>+'6a-CashFlowYear1'!D26</f>
        <v>0</v>
      </c>
      <c r="E55" s="30">
        <f>+'6a-CashFlowYear1'!E26</f>
        <v>0</v>
      </c>
      <c r="F55" s="30">
        <f>+'6a-CashFlowYear1'!F26</f>
        <v>0</v>
      </c>
      <c r="G55" s="30">
        <f>+'6a-CashFlowYear1'!G26</f>
        <v>0</v>
      </c>
      <c r="H55" s="30">
        <f>+'6a-CashFlowYear1'!H26</f>
        <v>0</v>
      </c>
      <c r="I55" s="30">
        <f>+'6a-CashFlowYear1'!I26</f>
        <v>0</v>
      </c>
      <c r="J55" s="30">
        <f>+'6a-CashFlowYear1'!J26</f>
        <v>0</v>
      </c>
      <c r="K55" s="30">
        <f>+'6a-CashFlowYear1'!K26</f>
        <v>0</v>
      </c>
      <c r="L55" s="30">
        <f>+'6a-CashFlowYear1'!L26</f>
        <v>0</v>
      </c>
      <c r="M55" s="30">
        <f>+'6a-CashFlowYear1'!M26</f>
        <v>0</v>
      </c>
      <c r="N55" s="30">
        <f>+'6a-CashFlowYear1'!N26</f>
        <v>0</v>
      </c>
      <c r="O55" s="36">
        <f t="shared" si="8"/>
        <v>0</v>
      </c>
    </row>
    <row r="56" spans="1:15" x14ac:dyDescent="0.15">
      <c r="B56" s="200" t="s">
        <v>282</v>
      </c>
      <c r="C56" s="30">
        <f>+'3a-SalesForecastYear1'!C53*'4-AdditionalInputs'!$C$12</f>
        <v>0</v>
      </c>
      <c r="D56" s="30">
        <f>+'3a-SalesForecastYear1'!D53*'4-AdditionalInputs'!$C$12</f>
        <v>0</v>
      </c>
      <c r="E56" s="30">
        <f>+'3a-SalesForecastYear1'!E53*'4-AdditionalInputs'!$C$12</f>
        <v>0</v>
      </c>
      <c r="F56" s="30">
        <f>+'3a-SalesForecastYear1'!F53*'4-AdditionalInputs'!$C$12</f>
        <v>0</v>
      </c>
      <c r="G56" s="30">
        <f>+'3a-SalesForecastYear1'!G53*'4-AdditionalInputs'!$C$12</f>
        <v>0</v>
      </c>
      <c r="H56" s="30">
        <f>+'3a-SalesForecastYear1'!H53*'4-AdditionalInputs'!$C$12</f>
        <v>0</v>
      </c>
      <c r="I56" s="30">
        <f>+'3a-SalesForecastYear1'!I53*'4-AdditionalInputs'!$C$12</f>
        <v>0</v>
      </c>
      <c r="J56" s="30">
        <f>+'3a-SalesForecastYear1'!J53*'4-AdditionalInputs'!$C$12</f>
        <v>0</v>
      </c>
      <c r="K56" s="30">
        <f>+'3a-SalesForecastYear1'!K53*'4-AdditionalInputs'!$C$12</f>
        <v>0</v>
      </c>
      <c r="L56" s="30">
        <f>+'3a-SalesForecastYear1'!L53*'4-AdditionalInputs'!$C$12</f>
        <v>0</v>
      </c>
      <c r="M56" s="30">
        <f>+'3a-SalesForecastYear1'!M53*'4-AdditionalInputs'!$C$12</f>
        <v>0</v>
      </c>
      <c r="N56" s="30">
        <f>+'3a-SalesForecastYear1'!N53*'4-AdditionalInputs'!$C$12</f>
        <v>0</v>
      </c>
      <c r="O56" s="36">
        <f t="shared" si="8"/>
        <v>0</v>
      </c>
    </row>
    <row r="57" spans="1:15" x14ac:dyDescent="0.15">
      <c r="B57" s="199" t="s">
        <v>158</v>
      </c>
      <c r="C57" s="30">
        <f>SUM(C47:C56)</f>
        <v>4478.75</v>
      </c>
      <c r="D57" s="30">
        <f t="shared" ref="D57:N57" si="9">SUM(D47:D56)</f>
        <v>4461.8552453729408</v>
      </c>
      <c r="E57" s="30">
        <f t="shared" si="9"/>
        <v>4444.8385480120023</v>
      </c>
      <c r="F57" s="30">
        <f t="shared" si="9"/>
        <v>4427.6989919220841</v>
      </c>
      <c r="G57" s="30">
        <f t="shared" si="9"/>
        <v>4410.435653973982</v>
      </c>
      <c r="H57" s="30">
        <f t="shared" si="9"/>
        <v>4393.0476038471061</v>
      </c>
      <c r="I57" s="30">
        <f t="shared" si="9"/>
        <v>4375.5339039717237</v>
      </c>
      <c r="J57" s="30">
        <f t="shared" si="9"/>
        <v>4357.8936094707278</v>
      </c>
      <c r="K57" s="30">
        <f t="shared" si="9"/>
        <v>4340.1257681009265</v>
      </c>
      <c r="L57" s="30">
        <f t="shared" si="9"/>
        <v>4322.2294201938485</v>
      </c>
      <c r="M57" s="30">
        <f t="shared" si="9"/>
        <v>4304.2035985960601</v>
      </c>
      <c r="N57" s="30">
        <f t="shared" si="9"/>
        <v>4286.0473286089982</v>
      </c>
      <c r="O57" s="36">
        <f t="shared" si="8"/>
        <v>52602.659672070404</v>
      </c>
    </row>
    <row r="58" spans="1:15" x14ac:dyDescent="0.15">
      <c r="B58" s="47" t="s">
        <v>235</v>
      </c>
      <c r="C58" s="36">
        <f t="shared" ref="C58:N58" si="10">C24-C25-C44-C57</f>
        <v>-1326.4441666666662</v>
      </c>
      <c r="D58" s="36">
        <f t="shared" si="10"/>
        <v>-777.21341203960765</v>
      </c>
      <c r="E58" s="36">
        <f t="shared" si="10"/>
        <v>-174.62711467866848</v>
      </c>
      <c r="F58" s="36">
        <f t="shared" si="10"/>
        <v>128.98837741124862</v>
      </c>
      <c r="G58" s="36">
        <f t="shared" si="10"/>
        <v>555.91620751935079</v>
      </c>
      <c r="H58" s="36">
        <f t="shared" si="10"/>
        <v>1007.5486193358274</v>
      </c>
      <c r="I58" s="36">
        <f t="shared" si="10"/>
        <v>1331.9283348051931</v>
      </c>
      <c r="J58" s="36">
        <f t="shared" si="10"/>
        <v>1668.7092855239334</v>
      </c>
      <c r="K58" s="36">
        <f t="shared" si="10"/>
        <v>2018.3834093601872</v>
      </c>
      <c r="L58" s="36">
        <f t="shared" si="10"/>
        <v>2295.1666575910976</v>
      </c>
      <c r="M58" s="36">
        <f t="shared" si="10"/>
        <v>2579.8459865224349</v>
      </c>
      <c r="N58" s="36">
        <f t="shared" si="10"/>
        <v>1872.6553690630535</v>
      </c>
      <c r="O58" s="36">
        <f t="shared" si="8"/>
        <v>11180.857553747384</v>
      </c>
    </row>
    <row r="59" spans="1:15" x14ac:dyDescent="0.15">
      <c r="B59" s="26" t="s">
        <v>236</v>
      </c>
      <c r="C59" s="60">
        <f>IF(C65&gt;0,C64*'4-AdditionalInputs'!$C$39,0)</f>
        <v>0</v>
      </c>
      <c r="D59" s="60">
        <f>+IF(D65&gt;0,IF(C65&lt;0,(D64-ABS(C65))*'4-AdditionalInputs'!$C$39,'7a-IncomeStatementYear1'!D64*'4-AdditionalInputs'!$C$39),IF('7a-IncomeStatementYear1'!C65&gt;0,-'7a-IncomeStatementYear1'!C65*'4-AdditionalInputs'!$C$39,0))</f>
        <v>0</v>
      </c>
      <c r="E59" s="60">
        <f>+IF(E65&gt;0,IF(D65&lt;0,(E64-ABS(D65))*'4-AdditionalInputs'!$C$39,'7a-IncomeStatementYear1'!E64*'4-AdditionalInputs'!$C$39),IF('7a-IncomeStatementYear1'!D65&gt;0,-'7a-IncomeStatementYear1'!D65*'4-AdditionalInputs'!$C$39,0))</f>
        <v>0</v>
      </c>
      <c r="F59" s="60">
        <f>+IF(F65&gt;0,IF(E65&lt;0,(F64-ABS(E65))*'4-AdditionalInputs'!$C$39,'7a-IncomeStatementYear1'!F64*'4-AdditionalInputs'!$C$39),IF('7a-IncomeStatementYear1'!E65&gt;0,-'7a-IncomeStatementYear1'!E65*'4-AdditionalInputs'!$C$39,0))</f>
        <v>0</v>
      </c>
      <c r="G59" s="60">
        <f>+IF(G65&gt;0,IF(F65&lt;0,(G64-ABS(F65))*'4-AdditionalInputs'!$C$39,'7a-IncomeStatementYear1'!G64*'4-AdditionalInputs'!$C$39),IF('7a-IncomeStatementYear1'!F65&gt;0,-'7a-IncomeStatementYear1'!F65*'4-AdditionalInputs'!$C$39,0))</f>
        <v>0</v>
      </c>
      <c r="H59" s="60">
        <f>+IF(H65&gt;0,IF(G65&lt;0,(H64-ABS(G65))*'4-AdditionalInputs'!$C$39,'7a-IncomeStatementYear1'!H64*'4-AdditionalInputs'!$C$39),IF('7a-IncomeStatementYear1'!G65&gt;0,-'7a-IncomeStatementYear1'!G65*'4-AdditionalInputs'!$C$39,0))</f>
        <v>0</v>
      </c>
      <c r="I59" s="60">
        <f>+IF(I65&gt;0,IF(H65&lt;0,(I64-ABS(H65))*'4-AdditionalInputs'!$C$39,'7a-IncomeStatementYear1'!I64*'4-AdditionalInputs'!$C$39),IF('7a-IncomeStatementYear1'!H65&gt;0,-'7a-IncomeStatementYear1'!H65*'4-AdditionalInputs'!$C$39,0))</f>
        <v>0</v>
      </c>
      <c r="J59" s="60">
        <f>+IF(J65&gt;0,IF(I65&lt;0,(J64-ABS(I65))*'4-AdditionalInputs'!$C$39,'7a-IncomeStatementYear1'!J64*'4-AdditionalInputs'!$C$39),IF('7a-IncomeStatementYear1'!I65&gt;0,-'7a-IncomeStatementYear1'!I65*'4-AdditionalInputs'!$C$39,0))</f>
        <v>0</v>
      </c>
      <c r="K59" s="60">
        <f>+IF(K65&gt;0,IF(J65&lt;0,(K64-ABS(J65))*'4-AdditionalInputs'!$C$39,'7a-IncomeStatementYear1'!K64*'4-AdditionalInputs'!$C$39),IF('7a-IncomeStatementYear1'!J65&gt;0,-'7a-IncomeStatementYear1'!J65*'4-AdditionalInputs'!$C$39,0))</f>
        <v>0</v>
      </c>
      <c r="L59" s="60">
        <f>+IF(L65&gt;0,IF(K65&lt;0,(L64-ABS(K65))*'4-AdditionalInputs'!$C$39,'7a-IncomeStatementYear1'!L64*'4-AdditionalInputs'!$C$39),IF('7a-IncomeStatementYear1'!K65&gt;0,-'7a-IncomeStatementYear1'!K65*'4-AdditionalInputs'!$C$39,0))</f>
        <v>0</v>
      </c>
      <c r="M59" s="60">
        <f>+IF(M65&gt;0,IF(L65&lt;0,(M64-ABS(L65))*'4-AdditionalInputs'!$C$39,'7a-IncomeStatementYear1'!M64*'4-AdditionalInputs'!$C$39),IF('7a-IncomeStatementYear1'!L65&gt;0,-'7a-IncomeStatementYear1'!L65*'4-AdditionalInputs'!$C$39,0))</f>
        <v>0</v>
      </c>
      <c r="N59" s="60">
        <f>+IF(N65&gt;0,IF(M65&lt;0,(N64-ABS(M65))*'4-AdditionalInputs'!$C$39,'7a-IncomeStatementYear1'!N64*'4-AdditionalInputs'!$C$39),IF('7a-IncomeStatementYear1'!M65&gt;0,-'7a-IncomeStatementYear1'!M65*'4-AdditionalInputs'!$C$39,0))</f>
        <v>0</v>
      </c>
      <c r="O59" s="36">
        <f t="shared" si="8"/>
        <v>0</v>
      </c>
    </row>
    <row r="60" spans="1:15" x14ac:dyDescent="0.15">
      <c r="B60" s="26" t="s">
        <v>313</v>
      </c>
      <c r="C60" s="36">
        <f t="shared" ref="C60:M60" si="11">C58-C59</f>
        <v>-1326.4441666666662</v>
      </c>
      <c r="D60" s="36">
        <f t="shared" si="11"/>
        <v>-777.21341203960765</v>
      </c>
      <c r="E60" s="36">
        <f t="shared" si="11"/>
        <v>-174.62711467866848</v>
      </c>
      <c r="F60" s="36">
        <f t="shared" si="11"/>
        <v>128.98837741124862</v>
      </c>
      <c r="G60" s="36">
        <f t="shared" si="11"/>
        <v>555.91620751935079</v>
      </c>
      <c r="H60" s="36">
        <f t="shared" si="11"/>
        <v>1007.5486193358274</v>
      </c>
      <c r="I60" s="36">
        <f t="shared" si="11"/>
        <v>1331.9283348051931</v>
      </c>
      <c r="J60" s="36">
        <f t="shared" si="11"/>
        <v>1668.7092855239334</v>
      </c>
      <c r="K60" s="36">
        <f t="shared" si="11"/>
        <v>2018.3834093601872</v>
      </c>
      <c r="L60" s="36">
        <f t="shared" si="11"/>
        <v>2295.1666575910976</v>
      </c>
      <c r="M60" s="36">
        <f t="shared" si="11"/>
        <v>2579.8459865224349</v>
      </c>
      <c r="N60" s="36">
        <f t="shared" ref="N60" si="12">N58-N59</f>
        <v>1872.6553690630535</v>
      </c>
      <c r="O60" s="36">
        <f>SUM(C60:N60)</f>
        <v>11180.857553747384</v>
      </c>
    </row>
    <row r="63" spans="1:15" x14ac:dyDescent="0.15">
      <c r="A63" s="444"/>
      <c r="B63" s="445" t="s">
        <v>298</v>
      </c>
      <c r="C63" s="446"/>
      <c r="D63" s="446"/>
      <c r="E63" s="446"/>
      <c r="F63" s="446"/>
      <c r="G63" s="446"/>
      <c r="H63" s="446"/>
      <c r="I63" s="446"/>
      <c r="J63" s="446"/>
      <c r="K63" s="446"/>
      <c r="L63" s="446"/>
      <c r="M63" s="446"/>
      <c r="N63" s="446"/>
      <c r="O63" s="444"/>
    </row>
    <row r="64" spans="1:15" x14ac:dyDescent="0.15">
      <c r="A64" s="444"/>
      <c r="B64" s="446" t="s">
        <v>299</v>
      </c>
      <c r="C64" s="447">
        <f>C45-C48-C50-C51-C52-C53-C54-C55-C56</f>
        <v>-1076.4441666666662</v>
      </c>
      <c r="D64" s="447">
        <f t="shared" ref="D64:N64" si="13">D45-D48-D50-D51-D52-D53-D54-D55-D56</f>
        <v>-527.21341203960753</v>
      </c>
      <c r="E64" s="447">
        <f t="shared" si="13"/>
        <v>75.372885321331466</v>
      </c>
      <c r="F64" s="447">
        <f t="shared" si="13"/>
        <v>378.98837741124873</v>
      </c>
      <c r="G64" s="447">
        <f t="shared" si="13"/>
        <v>805.91620751935136</v>
      </c>
      <c r="H64" s="447">
        <f t="shared" si="13"/>
        <v>1257.5486193358281</v>
      </c>
      <c r="I64" s="447">
        <f t="shared" si="13"/>
        <v>1581.9283348051936</v>
      </c>
      <c r="J64" s="447">
        <f t="shared" si="13"/>
        <v>1918.7092855239334</v>
      </c>
      <c r="K64" s="447">
        <f t="shared" si="13"/>
        <v>2268.3834093601872</v>
      </c>
      <c r="L64" s="447">
        <f t="shared" si="13"/>
        <v>2545.1666575910976</v>
      </c>
      <c r="M64" s="447">
        <f t="shared" si="13"/>
        <v>2829.8459865224349</v>
      </c>
      <c r="N64" s="447">
        <f t="shared" si="13"/>
        <v>2122.6553690630531</v>
      </c>
      <c r="O64" s="444"/>
    </row>
    <row r="65" spans="1:15" x14ac:dyDescent="0.15">
      <c r="A65" s="444"/>
      <c r="B65" s="446" t="s">
        <v>340</v>
      </c>
      <c r="C65" s="447">
        <f>C64</f>
        <v>-1076.4441666666662</v>
      </c>
      <c r="D65" s="447">
        <f>C65+D64</f>
        <v>-1603.6575787062739</v>
      </c>
      <c r="E65" s="447">
        <f>D65+E64</f>
        <v>-1528.2846933849423</v>
      </c>
      <c r="F65" s="447">
        <f>E65+F64</f>
        <v>-1149.2963159736937</v>
      </c>
      <c r="G65" s="447">
        <f>F65+G64</f>
        <v>-343.38010845434235</v>
      </c>
      <c r="H65" s="447">
        <f t="shared" ref="H65:N65" si="14">+G65+H64</f>
        <v>914.16851088148576</v>
      </c>
      <c r="I65" s="447">
        <f t="shared" si="14"/>
        <v>2496.0968456866794</v>
      </c>
      <c r="J65" s="447">
        <f t="shared" si="14"/>
        <v>4414.8061312106129</v>
      </c>
      <c r="K65" s="447">
        <f t="shared" si="14"/>
        <v>6683.1895405708001</v>
      </c>
      <c r="L65" s="447">
        <f t="shared" si="14"/>
        <v>9228.3561981618986</v>
      </c>
      <c r="M65" s="447">
        <f t="shared" si="14"/>
        <v>12058.202184684334</v>
      </c>
      <c r="N65" s="447">
        <f t="shared" si="14"/>
        <v>14180.857553747388</v>
      </c>
      <c r="O65" s="444"/>
    </row>
    <row r="66" spans="1:15" x14ac:dyDescent="0.15">
      <c r="A66" s="444"/>
      <c r="B66" s="444"/>
      <c r="C66" s="444"/>
      <c r="D66" s="444"/>
      <c r="E66" s="444"/>
      <c r="F66" s="444"/>
      <c r="G66" s="444"/>
      <c r="H66" s="444"/>
      <c r="I66" s="444"/>
      <c r="J66" s="444"/>
      <c r="K66" s="444"/>
      <c r="L66" s="444"/>
      <c r="M66" s="444"/>
      <c r="N66" s="444"/>
      <c r="O66" s="444"/>
    </row>
    <row r="67" spans="1:15" x14ac:dyDescent="0.15">
      <c r="A67" s="444"/>
      <c r="B67" s="444"/>
      <c r="C67" s="444"/>
      <c r="D67" s="444"/>
      <c r="E67" s="444"/>
      <c r="F67" s="444"/>
      <c r="G67" s="444"/>
      <c r="H67" s="444"/>
      <c r="I67" s="444"/>
      <c r="J67" s="444"/>
      <c r="K67" s="444"/>
      <c r="L67" s="444"/>
      <c r="M67" s="444"/>
      <c r="N67" s="444"/>
      <c r="O67" s="444"/>
    </row>
  </sheetData>
  <sheetProtection algorithmName="SHA-512" hashValue="plhvkYi/ZG3V6H/C0UZHnEUOZ+PxBL5j9IKuQ66GDWLrKBX1biW4SHNBJe0uv4cCMFoUCQ3yG5qi1rCSFlVL0A==" saltValue="j7fGUqBrls9+PlftYwLcWQ==" spinCount="100000" sheet="1" objects="1" scenarios="1" formatCells="0" formatColumns="0"/>
  <mergeCells count="3">
    <mergeCell ref="B2:C2"/>
    <mergeCell ref="C4:D4"/>
    <mergeCell ref="C5:D5"/>
  </mergeCells>
  <phoneticPr fontId="3" type="noConversion"/>
  <conditionalFormatting sqref="C59:N59">
    <cfRule type="containsBlanks" dxfId="22" priority="1">
      <formula>LEN(TRIM(C59))=0</formula>
    </cfRule>
  </conditionalFormatting>
  <printOptions horizontalCentered="1"/>
  <pageMargins left="0.25" right="0.25" top="0.75" bottom="0.75" header="0.3" footer="0.3"/>
  <pageSetup scale="63" orientation="landscape" r:id="rId1"/>
  <headerFooter scaleWithDoc="0">
    <oddHeader>&amp;C&amp;"Gill Sans MT,Regular"&amp;12Income Statement Year 1</oddHeader>
    <oddFooter>&amp;L&amp;F&amp;C&amp;A&amp;R&amp;D &amp;T</oddFooter>
  </headerFooter>
  <rowBreaks count="1" manualBreakCount="1">
    <brk id="60" min="1" max="14" man="1"/>
  </row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FFC95B"/>
    <pageSetUpPr fitToPage="1"/>
  </sheetPr>
  <dimension ref="A1:W82"/>
  <sheetViews>
    <sheetView topLeftCell="A35" zoomScale="177" zoomScaleNormal="90" zoomScalePageLayoutView="70" workbookViewId="0">
      <selection activeCell="G59" sqref="G59"/>
    </sheetView>
  </sheetViews>
  <sheetFormatPr baseColWidth="10" defaultColWidth="8.83203125" defaultRowHeight="12" x14ac:dyDescent="0.15"/>
  <cols>
    <col min="1" max="1" width="3.83203125" style="78" customWidth="1"/>
    <col min="2" max="2" width="46.6640625" style="78" bestFit="1" customWidth="1"/>
    <col min="3" max="3" width="17.5" style="78" bestFit="1" customWidth="1"/>
    <col min="4" max="4" width="9.33203125" style="202" customWidth="1"/>
    <col min="5" max="5" width="13.83203125" style="78" bestFit="1" customWidth="1"/>
    <col min="6" max="6" width="9.33203125" style="203" customWidth="1"/>
    <col min="7" max="7" width="12.5" style="78" bestFit="1" customWidth="1"/>
    <col min="8" max="8" width="9.6640625" style="202" bestFit="1" customWidth="1"/>
    <col min="9" max="11" width="9.6640625" style="78" bestFit="1" customWidth="1"/>
    <col min="12" max="14" width="10.1640625" style="78" bestFit="1" customWidth="1"/>
    <col min="15" max="15" width="11.5" style="78" bestFit="1" customWidth="1"/>
    <col min="16" max="16384" width="8.83203125" style="78"/>
  </cols>
  <sheetData>
    <row r="1" spans="2:11" x14ac:dyDescent="0.15">
      <c r="I1" s="46"/>
      <c r="J1" s="46"/>
    </row>
    <row r="2" spans="2:11" x14ac:dyDescent="0.15">
      <c r="B2" s="514" t="s">
        <v>332</v>
      </c>
      <c r="C2" s="514"/>
      <c r="D2" s="204"/>
      <c r="E2" s="168"/>
      <c r="F2" s="205"/>
      <c r="G2" s="168"/>
      <c r="H2" s="204"/>
      <c r="I2" s="515"/>
      <c r="J2" s="515"/>
      <c r="K2" s="515"/>
    </row>
    <row r="3" spans="2:11" x14ac:dyDescent="0.15">
      <c r="B3" s="57"/>
      <c r="C3" s="57"/>
      <c r="D3" s="204"/>
      <c r="E3" s="168"/>
      <c r="F3" s="205"/>
      <c r="G3" s="168"/>
      <c r="H3" s="204"/>
      <c r="I3" s="515"/>
      <c r="J3" s="515"/>
      <c r="K3" s="515"/>
    </row>
    <row r="4" spans="2:11" ht="19.5" customHeight="1" x14ac:dyDescent="0.15">
      <c r="B4" s="58" t="s">
        <v>130</v>
      </c>
      <c r="C4" s="58" t="s">
        <v>131</v>
      </c>
      <c r="D4" s="206"/>
      <c r="E4" s="58"/>
      <c r="F4" s="207"/>
      <c r="G4" s="168"/>
      <c r="H4" s="206"/>
      <c r="I4" s="46"/>
      <c r="J4" s="46"/>
    </row>
    <row r="5" spans="2:11" ht="18.75" customHeight="1" x14ac:dyDescent="0.15">
      <c r="B5" s="19" t="str">
        <f>IF(ISBLANK(Directions!C10), "Owner", Directions!C10)</f>
        <v>Dave Johnson</v>
      </c>
      <c r="C5" s="19" t="str">
        <f>IF(ISBLANK(Directions!D10), "Company 1", Directions!D10)</f>
        <v>Dave's Famous Pretzels</v>
      </c>
      <c r="D5" s="208"/>
      <c r="E5" s="19"/>
      <c r="F5" s="209"/>
      <c r="G5" s="168"/>
      <c r="H5" s="208"/>
      <c r="I5" s="46"/>
      <c r="J5" s="46"/>
    </row>
    <row r="6" spans="2:11" x14ac:dyDescent="0.15">
      <c r="I6" s="46"/>
      <c r="J6" s="46"/>
    </row>
    <row r="7" spans="2:11" ht="14" thickBot="1" x14ac:dyDescent="0.2">
      <c r="B7" s="344" t="s">
        <v>138</v>
      </c>
      <c r="C7" s="345">
        <f>IF(Directions!F10&gt;0,Directions!F10,"First Year")</f>
        <v>2026</v>
      </c>
      <c r="D7" s="345"/>
      <c r="E7" s="345">
        <f>IF(Directions!F10&gt;0,Directions!F10+1,"Second Year")</f>
        <v>2027</v>
      </c>
      <c r="F7" s="345"/>
      <c r="G7" s="345">
        <f>IF(Directions!F10&gt;0,Directions!F10+2,"Third Year")</f>
        <v>2028</v>
      </c>
      <c r="H7" s="345"/>
      <c r="I7" s="46"/>
      <c r="J7" s="46"/>
    </row>
    <row r="8" spans="2:11" ht="13" thickTop="1" x14ac:dyDescent="0.15">
      <c r="B8" s="353" t="str">
        <f>'3a-SalesForecastYear1'!B17</f>
        <v>Pretzels</v>
      </c>
      <c r="C8" s="435">
        <f>'3b-SalesForecastYrs1-3'!B13</f>
        <v>72377.577760744098</v>
      </c>
      <c r="D8" s="354"/>
      <c r="E8" s="435">
        <f>'3b-SalesForecastYrs1-3'!O13</f>
        <v>105586.51497224637</v>
      </c>
      <c r="F8" s="355"/>
      <c r="G8" s="435">
        <f>'3b-SalesForecastYrs1-3'!AD13</f>
        <v>138124.23017056347</v>
      </c>
      <c r="H8" s="354"/>
      <c r="I8" s="46"/>
      <c r="J8" s="46"/>
    </row>
    <row r="9" spans="2:11" x14ac:dyDescent="0.15">
      <c r="B9" s="211" t="str">
        <f>'3a-SalesForecastYear1'!B23</f>
        <v>Coffee</v>
      </c>
      <c r="C9" s="41">
        <f>'3b-SalesForecastYrs1-3'!B19</f>
        <v>30122.858553757302</v>
      </c>
      <c r="D9" s="214"/>
      <c r="E9" s="41">
        <f>'3b-SalesForecastYrs1-3'!O19</f>
        <v>43944.101945592061</v>
      </c>
      <c r="F9" s="215"/>
      <c r="G9" s="41">
        <f>'3b-SalesForecastYrs1-3'!AD19</f>
        <v>57485.989128129768</v>
      </c>
      <c r="H9" s="214"/>
      <c r="I9" s="46"/>
      <c r="J9" s="46"/>
    </row>
    <row r="10" spans="2:11" x14ac:dyDescent="0.15">
      <c r="B10" s="195" t="str">
        <f>'3a-SalesForecastYear1'!B29</f>
        <v>Sodas</v>
      </c>
      <c r="C10" s="41">
        <f>'3b-SalesForecastYrs1-3'!B25</f>
        <v>12709.15799965447</v>
      </c>
      <c r="D10" s="212"/>
      <c r="E10" s="41">
        <f>'3b-SalesForecastYrs1-3'!O25</f>
        <v>18540.489236198027</v>
      </c>
      <c r="F10" s="213"/>
      <c r="G10" s="41">
        <f>'3b-SalesForecastYrs1-3'!AD25</f>
        <v>24253.957083521578</v>
      </c>
      <c r="H10" s="212"/>
      <c r="I10" s="46"/>
      <c r="J10" s="46"/>
    </row>
    <row r="11" spans="2:11" x14ac:dyDescent="0.15">
      <c r="B11" s="211" t="str">
        <f>'3a-SalesForecastYear1'!B35</f>
        <v xml:space="preserve"> </v>
      </c>
      <c r="C11" s="41">
        <f>'3b-SalesForecastYrs1-3'!B31</f>
        <v>0</v>
      </c>
      <c r="D11" s="212"/>
      <c r="E11" s="41">
        <f>'3b-SalesForecastYrs1-3'!O31</f>
        <v>0</v>
      </c>
      <c r="F11" s="213"/>
      <c r="G11" s="41">
        <f>'3b-SalesForecastYrs1-3'!AD31</f>
        <v>0</v>
      </c>
      <c r="H11" s="212"/>
      <c r="I11" s="46"/>
      <c r="J11" s="46"/>
    </row>
    <row r="12" spans="2:11" x14ac:dyDescent="0.15">
      <c r="B12" s="211" t="str">
        <f>'3a-SalesForecastYear1'!B41</f>
        <v xml:space="preserve"> </v>
      </c>
      <c r="C12" s="41">
        <f>'3b-SalesForecastYrs1-3'!B37</f>
        <v>0</v>
      </c>
      <c r="D12" s="212"/>
      <c r="E12" s="41">
        <f>'3b-SalesForecastYrs1-3'!O37</f>
        <v>0</v>
      </c>
      <c r="F12" s="213"/>
      <c r="G12" s="41">
        <f>'3b-SalesForecastYrs1-3'!AD37</f>
        <v>0</v>
      </c>
      <c r="H12" s="212"/>
      <c r="I12" s="46"/>
      <c r="J12" s="46"/>
    </row>
    <row r="13" spans="2:11" x14ac:dyDescent="0.15">
      <c r="B13" s="211" t="str">
        <f>'3a-SalesForecastYear1'!B47</f>
        <v xml:space="preserve"> </v>
      </c>
      <c r="C13" s="41">
        <f>'3b-SalesForecastYrs1-3'!B43</f>
        <v>0</v>
      </c>
      <c r="D13" s="212"/>
      <c r="E13" s="41">
        <f>'3b-SalesForecastYrs1-3'!O43</f>
        <v>0</v>
      </c>
      <c r="F13" s="213"/>
      <c r="G13" s="41">
        <f>'3b-SalesForecastYrs1-3'!AD43</f>
        <v>0</v>
      </c>
      <c r="H13" s="212"/>
      <c r="I13" s="46"/>
      <c r="J13" s="46"/>
    </row>
    <row r="14" spans="2:11" x14ac:dyDescent="0.15">
      <c r="B14" s="210" t="s">
        <v>137</v>
      </c>
      <c r="C14" s="191">
        <f>SUM(C8:C13)</f>
        <v>115209.59431415587</v>
      </c>
      <c r="D14" s="216">
        <v>1</v>
      </c>
      <c r="E14" s="191">
        <f>SUM(E8:E13)</f>
        <v>168071.10615403645</v>
      </c>
      <c r="F14" s="217">
        <v>1</v>
      </c>
      <c r="G14" s="191">
        <f>SUM(G8:G13)</f>
        <v>219864.17638221482</v>
      </c>
      <c r="H14" s="216">
        <v>1</v>
      </c>
      <c r="I14" s="46"/>
      <c r="J14" s="46"/>
    </row>
    <row r="15" spans="2:11" ht="14" thickBot="1" x14ac:dyDescent="0.2">
      <c r="B15" s="344" t="s">
        <v>29</v>
      </c>
      <c r="C15" s="344"/>
      <c r="D15" s="344"/>
      <c r="E15" s="344"/>
      <c r="F15" s="344"/>
      <c r="G15" s="344"/>
      <c r="H15" s="344"/>
      <c r="I15" s="46"/>
      <c r="J15" s="46"/>
    </row>
    <row r="16" spans="2:11" ht="13" thickTop="1" x14ac:dyDescent="0.15">
      <c r="B16" s="353" t="str">
        <f>'3a-SalesForecastYear1'!B17</f>
        <v>Pretzels</v>
      </c>
      <c r="C16" s="435">
        <f>'3b-SalesForecastYrs1-3'!B14</f>
        <v>15509.480948730876</v>
      </c>
      <c r="D16" s="354"/>
      <c r="E16" s="435">
        <f>'3b-SalesForecastYrs1-3'!O14</f>
        <v>22625.681779767077</v>
      </c>
      <c r="F16" s="356"/>
      <c r="G16" s="435">
        <f>'3b-SalesForecastYrs1-3'!AD14</f>
        <v>29598.049322263607</v>
      </c>
      <c r="H16" s="354"/>
      <c r="I16" s="46"/>
      <c r="J16" s="46"/>
    </row>
    <row r="17" spans="2:10" x14ac:dyDescent="0.15">
      <c r="B17" s="211" t="str">
        <f>'3a-SalesForecastYear1'!B23</f>
        <v>Coffee</v>
      </c>
      <c r="C17" s="41">
        <f>'3b-SalesForecastYrs1-3'!B20</f>
        <v>5422.114539676315</v>
      </c>
      <c r="D17" s="212"/>
      <c r="E17" s="41">
        <f>'3b-SalesForecastYrs1-3'!O20</f>
        <v>7909.9383502065702</v>
      </c>
      <c r="F17" s="220"/>
      <c r="G17" s="41">
        <f>'3b-SalesForecastYrs1-3'!AD20</f>
        <v>10347.47804306336</v>
      </c>
      <c r="H17" s="212"/>
      <c r="I17" s="46"/>
      <c r="J17" s="46"/>
    </row>
    <row r="18" spans="2:10" x14ac:dyDescent="0.15">
      <c r="B18" s="195" t="str">
        <f>'3a-SalesForecastYear1'!B29</f>
        <v>Sodas</v>
      </c>
      <c r="C18" s="41">
        <f>'3b-SalesForecastYrs1-3'!B26</f>
        <v>2541.8315999308938</v>
      </c>
      <c r="D18" s="212"/>
      <c r="E18" s="41">
        <f>'3b-SalesForecastYrs1-3'!O26</f>
        <v>3708.0978472396055</v>
      </c>
      <c r="F18" s="220"/>
      <c r="G18" s="41">
        <f>'3b-SalesForecastYrs1-3'!AD26</f>
        <v>4850.7914167043155</v>
      </c>
      <c r="H18" s="212"/>
      <c r="I18" s="46"/>
      <c r="J18" s="46"/>
    </row>
    <row r="19" spans="2:10" x14ac:dyDescent="0.15">
      <c r="B19" s="211" t="str">
        <f>'3a-SalesForecastYear1'!B35</f>
        <v xml:space="preserve"> </v>
      </c>
      <c r="C19" s="41">
        <f>'3b-SalesForecastYrs1-3'!B32</f>
        <v>0</v>
      </c>
      <c r="D19" s="212"/>
      <c r="E19" s="41">
        <f>'3b-SalesForecastYrs1-3'!O32</f>
        <v>0</v>
      </c>
      <c r="F19" s="220"/>
      <c r="G19" s="41">
        <f>'3b-SalesForecastYrs1-3'!AD32</f>
        <v>0</v>
      </c>
      <c r="H19" s="212"/>
      <c r="I19" s="46"/>
      <c r="J19" s="46"/>
    </row>
    <row r="20" spans="2:10" x14ac:dyDescent="0.15">
      <c r="B20" s="211" t="str">
        <f>'3a-SalesForecastYear1'!B41</f>
        <v xml:space="preserve"> </v>
      </c>
      <c r="C20" s="41">
        <f>'3b-SalesForecastYrs1-3'!B38</f>
        <v>0</v>
      </c>
      <c r="D20" s="212"/>
      <c r="E20" s="41">
        <f>'3b-SalesForecastYrs1-3'!O38</f>
        <v>0</v>
      </c>
      <c r="F20" s="220"/>
      <c r="G20" s="41">
        <f>'3b-SalesForecastYrs1-3'!AD38</f>
        <v>0</v>
      </c>
      <c r="H20" s="212"/>
      <c r="I20" s="46"/>
      <c r="J20" s="46"/>
    </row>
    <row r="21" spans="2:10" x14ac:dyDescent="0.15">
      <c r="B21" s="211" t="str">
        <f>'3a-SalesForecastYear1'!B47</f>
        <v xml:space="preserve"> </v>
      </c>
      <c r="C21" s="41">
        <f>'3b-SalesForecastYrs1-3'!B44</f>
        <v>0</v>
      </c>
      <c r="D21" s="212"/>
      <c r="E21" s="41">
        <f>'3b-SalesForecastYrs1-3'!O44</f>
        <v>0</v>
      </c>
      <c r="F21" s="220"/>
      <c r="G21" s="41">
        <f>'3b-SalesForecastYrs1-3'!AD44</f>
        <v>0</v>
      </c>
      <c r="H21" s="212"/>
      <c r="I21" s="46"/>
      <c r="J21" s="46"/>
    </row>
    <row r="22" spans="2:10" x14ac:dyDescent="0.15">
      <c r="B22" s="210" t="s">
        <v>105</v>
      </c>
      <c r="C22" s="316">
        <f>SUM(C16:C21)</f>
        <v>23473.427088338085</v>
      </c>
      <c r="D22" s="221">
        <f>IF(C14=0,0,C22/C14)</f>
        <v>0.20374541919078601</v>
      </c>
      <c r="E22" s="316">
        <f>SUM(E16:E21)</f>
        <v>34243.717977213251</v>
      </c>
      <c r="F22" s="221">
        <f>IF(E14=0,0,E22/E14)</f>
        <v>0.20374541919078601</v>
      </c>
      <c r="G22" s="316">
        <f>SUM(G16:G21)</f>
        <v>44796.318782031281</v>
      </c>
      <c r="H22" s="221">
        <f>IF(G14=0,0,G22/G14)</f>
        <v>0.20374541919078606</v>
      </c>
      <c r="I22" s="46"/>
      <c r="J22" s="46"/>
    </row>
    <row r="23" spans="2:10" x14ac:dyDescent="0.15">
      <c r="B23" s="210" t="s">
        <v>134</v>
      </c>
      <c r="C23" s="30">
        <f>C14-C22</f>
        <v>91736.167225817786</v>
      </c>
      <c r="D23" s="221">
        <f>IF(C14=0,0,C23/C14)</f>
        <v>0.79625458080921396</v>
      </c>
      <c r="E23" s="30">
        <f>E14-E22</f>
        <v>133827.38817682321</v>
      </c>
      <c r="F23" s="221">
        <f>IF(E14=0,0,E23/E14)</f>
        <v>0.79625458080921407</v>
      </c>
      <c r="G23" s="30">
        <f>G14-G22</f>
        <v>175067.85760018355</v>
      </c>
      <c r="H23" s="221">
        <f>IF(G14=0,0,G23/G14)</f>
        <v>0.79625458080921396</v>
      </c>
      <c r="I23" s="46"/>
      <c r="J23" s="46"/>
    </row>
    <row r="24" spans="2:10" x14ac:dyDescent="0.15">
      <c r="B24" s="210" t="s">
        <v>211</v>
      </c>
      <c r="C24" s="30">
        <f>'2a-PayrollYear1'!R25</f>
        <v>24252.65</v>
      </c>
      <c r="D24" s="221"/>
      <c r="E24" s="30">
        <f>'2b-PayrollYrs1-3'!E26</f>
        <v>28453.18</v>
      </c>
      <c r="F24" s="220"/>
      <c r="G24" s="30">
        <f>'2b-PayrollYrs1-3'!G26</f>
        <v>36989.133999999998</v>
      </c>
      <c r="H24" s="212"/>
      <c r="I24" s="46"/>
      <c r="J24" s="46"/>
    </row>
    <row r="25" spans="2:10" ht="14" thickBot="1" x14ac:dyDescent="0.2">
      <c r="B25" s="344" t="s">
        <v>135</v>
      </c>
      <c r="C25" s="344"/>
      <c r="D25" s="344"/>
      <c r="E25" s="344"/>
      <c r="F25" s="344"/>
      <c r="G25" s="344"/>
      <c r="H25" s="344"/>
      <c r="I25" s="46"/>
      <c r="J25" s="46"/>
    </row>
    <row r="26" spans="2:10" s="5" customFormat="1" ht="13" thickTop="1" x14ac:dyDescent="0.15">
      <c r="B26" s="467" t="str">
        <f>'5a-OpExYear1'!B10</f>
        <v>Advertising</v>
      </c>
      <c r="C26" s="165">
        <f>'5b-OpExYrs1-3'!C8</f>
        <v>2100</v>
      </c>
      <c r="D26" s="357"/>
      <c r="E26" s="358">
        <f>'5b-OpExYrs1-3'!E8</f>
        <v>2163</v>
      </c>
      <c r="F26" s="359"/>
      <c r="G26" s="358">
        <f>'5b-OpExYrs1-3'!G8</f>
        <v>2227.89</v>
      </c>
      <c r="H26" s="360"/>
    </row>
    <row r="27" spans="2:10" s="5" customFormat="1" x14ac:dyDescent="0.15">
      <c r="B27" s="467" t="str">
        <f>'5a-OpExYear1'!B11</f>
        <v>Car and Truck Expenses</v>
      </c>
      <c r="C27" s="83">
        <f>'5b-OpExYrs1-3'!C9</f>
        <v>0</v>
      </c>
      <c r="D27" s="222"/>
      <c r="E27" s="186">
        <f>'5b-OpExYrs1-3'!E9</f>
        <v>0</v>
      </c>
      <c r="F27" s="219"/>
      <c r="G27" s="186">
        <f>'5b-OpExYrs1-3'!G9</f>
        <v>0</v>
      </c>
      <c r="H27" s="214"/>
    </row>
    <row r="28" spans="2:10" s="5" customFormat="1" x14ac:dyDescent="0.15">
      <c r="B28" s="467" t="str">
        <f>'5a-OpExYear1'!B12</f>
        <v>Commissions and Fees</v>
      </c>
      <c r="C28" s="83">
        <f>'5b-OpExYrs1-3'!C10</f>
        <v>0</v>
      </c>
      <c r="D28" s="222"/>
      <c r="E28" s="186">
        <f>'5b-OpExYrs1-3'!E10</f>
        <v>0</v>
      </c>
      <c r="F28" s="219"/>
      <c r="G28" s="186">
        <f>'5b-OpExYrs1-3'!G10</f>
        <v>0</v>
      </c>
      <c r="H28" s="214"/>
    </row>
    <row r="29" spans="2:10" s="5" customFormat="1" x14ac:dyDescent="0.15">
      <c r="B29" s="467" t="str">
        <f>'5a-OpExYear1'!B13</f>
        <v>Contract Labor (Not included in payroll)</v>
      </c>
      <c r="C29" s="83">
        <f>'5b-OpExYrs1-3'!C11</f>
        <v>0</v>
      </c>
      <c r="D29" s="222"/>
      <c r="E29" s="186">
        <f>'5b-OpExYrs1-3'!E11</f>
        <v>0</v>
      </c>
      <c r="F29" s="219"/>
      <c r="G29" s="186">
        <f>'5b-OpExYrs1-3'!G11</f>
        <v>0</v>
      </c>
      <c r="H29" s="214"/>
    </row>
    <row r="30" spans="2:10" s="5" customFormat="1" x14ac:dyDescent="0.15">
      <c r="B30" s="467" t="str">
        <f>'5a-OpExYear1'!B14</f>
        <v>Insurance (other than health)</v>
      </c>
      <c r="C30" s="83">
        <f>'5b-OpExYrs1-3'!C12</f>
        <v>0</v>
      </c>
      <c r="D30" s="222"/>
      <c r="E30" s="186">
        <f>'5b-OpExYrs1-3'!E12</f>
        <v>0</v>
      </c>
      <c r="F30" s="219"/>
      <c r="G30" s="186">
        <f>'5b-OpExYrs1-3'!G12</f>
        <v>0</v>
      </c>
      <c r="H30" s="214"/>
    </row>
    <row r="31" spans="2:10" x14ac:dyDescent="0.15">
      <c r="B31" s="467" t="str">
        <f>'5a-OpExYear1'!B15</f>
        <v>Legal and Professional Services</v>
      </c>
      <c r="C31" s="83">
        <f>'5b-OpExYrs1-3'!C13</f>
        <v>0</v>
      </c>
      <c r="D31" s="222"/>
      <c r="E31" s="186">
        <f>'5b-OpExYrs1-3'!E13</f>
        <v>0</v>
      </c>
      <c r="F31" s="219"/>
      <c r="G31" s="186">
        <f>'5b-OpExYrs1-3'!G13</f>
        <v>0</v>
      </c>
      <c r="H31" s="214"/>
      <c r="I31" s="46"/>
      <c r="J31" s="46"/>
    </row>
    <row r="32" spans="2:10" x14ac:dyDescent="0.15">
      <c r="B32" s="467" t="str">
        <f>'5a-OpExYear1'!B16</f>
        <v>Licenses</v>
      </c>
      <c r="C32" s="83">
        <f>'5b-OpExYrs1-3'!C14</f>
        <v>0</v>
      </c>
      <c r="D32" s="222"/>
      <c r="E32" s="186">
        <f>'5b-OpExYrs1-3'!E14</f>
        <v>0</v>
      </c>
      <c r="F32" s="219"/>
      <c r="G32" s="186">
        <f>'5b-OpExYrs1-3'!G14</f>
        <v>0</v>
      </c>
      <c r="H32" s="214"/>
      <c r="I32" s="46"/>
      <c r="J32" s="46"/>
    </row>
    <row r="33" spans="2:10" x14ac:dyDescent="0.15">
      <c r="B33" s="467" t="str">
        <f>'5a-OpExYear1'!B17</f>
        <v>Office Expense</v>
      </c>
      <c r="C33" s="83">
        <f>'5b-OpExYrs1-3'!C15</f>
        <v>0</v>
      </c>
      <c r="D33" s="222"/>
      <c r="E33" s="186">
        <f>'5b-OpExYrs1-3'!E15</f>
        <v>0</v>
      </c>
      <c r="F33" s="219"/>
      <c r="G33" s="186">
        <f>'5b-OpExYrs1-3'!G15</f>
        <v>0</v>
      </c>
      <c r="H33" s="214"/>
      <c r="I33" s="46"/>
      <c r="J33" s="46"/>
    </row>
    <row r="34" spans="2:10" x14ac:dyDescent="0.15">
      <c r="B34" s="467" t="str">
        <f>'5a-OpExYear1'!B18</f>
        <v>Rent or Lease -- Vehicles, Machinery, Equipment</v>
      </c>
      <c r="C34" s="83">
        <f>'5b-OpExYrs1-3'!C16</f>
        <v>0</v>
      </c>
      <c r="D34" s="222"/>
      <c r="E34" s="186">
        <f>'5b-OpExYrs1-3'!E16</f>
        <v>0</v>
      </c>
      <c r="F34" s="219"/>
      <c r="G34" s="186">
        <f>'5b-OpExYrs1-3'!G16</f>
        <v>0</v>
      </c>
      <c r="H34" s="214"/>
      <c r="I34" s="46"/>
      <c r="J34" s="46"/>
    </row>
    <row r="35" spans="2:10" x14ac:dyDescent="0.15">
      <c r="B35" s="467" t="str">
        <f>'5a-OpExYear1'!B19</f>
        <v>Rent or Lease -- Other Business Property</v>
      </c>
      <c r="C35" s="83">
        <f>'5b-OpExYrs1-3'!C17</f>
        <v>0</v>
      </c>
      <c r="D35" s="222"/>
      <c r="E35" s="186">
        <f>'5b-OpExYrs1-3'!E17</f>
        <v>0</v>
      </c>
      <c r="F35" s="219"/>
      <c r="G35" s="186">
        <f>'5b-OpExYrs1-3'!G17</f>
        <v>0</v>
      </c>
      <c r="H35" s="214"/>
      <c r="I35" s="46"/>
      <c r="J35" s="46"/>
    </row>
    <row r="36" spans="2:10" x14ac:dyDescent="0.15">
      <c r="B36" s="467" t="str">
        <f>'5a-OpExYear1'!B20</f>
        <v>Repairs and Maintenance</v>
      </c>
      <c r="C36" s="83">
        <f>'5b-OpExYrs1-3'!C18</f>
        <v>1000</v>
      </c>
      <c r="D36" s="222"/>
      <c r="E36" s="186">
        <f>'5b-OpExYrs1-3'!E18</f>
        <v>1050</v>
      </c>
      <c r="F36" s="219"/>
      <c r="G36" s="186">
        <f>'5b-OpExYrs1-3'!G18</f>
        <v>1102.5</v>
      </c>
      <c r="H36" s="214"/>
      <c r="I36" s="46"/>
      <c r="J36" s="46"/>
    </row>
    <row r="37" spans="2:10" x14ac:dyDescent="0.15">
      <c r="B37" s="467" t="str">
        <f>'5a-OpExYear1'!B21</f>
        <v>Supplies</v>
      </c>
      <c r="C37" s="83">
        <f>'5b-OpExYrs1-3'!C19</f>
        <v>0</v>
      </c>
      <c r="D37" s="222"/>
      <c r="E37" s="186">
        <f>'5b-OpExYrs1-3'!E19</f>
        <v>0</v>
      </c>
      <c r="F37" s="219"/>
      <c r="G37" s="186">
        <f>'5b-OpExYrs1-3'!G19</f>
        <v>0</v>
      </c>
      <c r="H37" s="214"/>
      <c r="I37" s="46"/>
      <c r="J37" s="46"/>
    </row>
    <row r="38" spans="2:10" x14ac:dyDescent="0.15">
      <c r="B38" s="467" t="str">
        <f>'5a-OpExYear1'!B22</f>
        <v>Travel, Meals and Entertainment</v>
      </c>
      <c r="C38" s="83">
        <f>'5b-OpExYrs1-3'!C20</f>
        <v>600</v>
      </c>
      <c r="D38" s="222"/>
      <c r="E38" s="186">
        <f>'5b-OpExYrs1-3'!E20</f>
        <v>618</v>
      </c>
      <c r="F38" s="219"/>
      <c r="G38" s="186">
        <f>'5b-OpExYrs1-3'!G20</f>
        <v>636.54</v>
      </c>
      <c r="H38" s="214"/>
      <c r="I38" s="46"/>
      <c r="J38" s="46"/>
    </row>
    <row r="39" spans="2:10" x14ac:dyDescent="0.15">
      <c r="B39" s="467" t="str">
        <f>'5a-OpExYear1'!B23</f>
        <v>Utilities</v>
      </c>
      <c r="C39" s="83">
        <f>'5b-OpExYrs1-3'!C21</f>
        <v>0</v>
      </c>
      <c r="D39" s="222"/>
      <c r="E39" s="186">
        <f>'5b-OpExYrs1-3'!E21</f>
        <v>0</v>
      </c>
      <c r="F39" s="219"/>
      <c r="G39" s="186">
        <f>'5b-OpExYrs1-3'!G21</f>
        <v>0</v>
      </c>
      <c r="H39" s="214"/>
      <c r="I39" s="46"/>
      <c r="J39" s="46"/>
    </row>
    <row r="40" spans="2:10" x14ac:dyDescent="0.15">
      <c r="B40" s="467" t="str">
        <f>'5a-OpExYear1'!B24</f>
        <v xml:space="preserve">Miscellaneous </v>
      </c>
      <c r="C40" s="83">
        <f>'5b-OpExYrs1-3'!C22</f>
        <v>0</v>
      </c>
      <c r="D40" s="222"/>
      <c r="E40" s="186">
        <f>'5b-OpExYrs1-3'!E22</f>
        <v>0</v>
      </c>
      <c r="F40" s="219"/>
      <c r="G40" s="186">
        <f>'5b-OpExYrs1-3'!G22</f>
        <v>0</v>
      </c>
      <c r="H40" s="214"/>
      <c r="I40" s="46"/>
      <c r="J40" s="46"/>
    </row>
    <row r="41" spans="2:10" x14ac:dyDescent="0.15">
      <c r="B41" s="320" t="s">
        <v>273</v>
      </c>
      <c r="C41" s="83"/>
      <c r="D41" s="222"/>
      <c r="E41" s="186"/>
      <c r="F41" s="219"/>
      <c r="G41" s="186"/>
      <c r="H41" s="214"/>
      <c r="I41" s="46"/>
      <c r="J41" s="46"/>
    </row>
    <row r="42" spans="2:10" x14ac:dyDescent="0.15">
      <c r="B42" s="320" t="s">
        <v>274</v>
      </c>
      <c r="C42" s="83"/>
      <c r="D42" s="222"/>
      <c r="E42" s="186"/>
      <c r="F42" s="219"/>
      <c r="G42" s="186"/>
      <c r="H42" s="214"/>
      <c r="I42" s="46"/>
      <c r="J42" s="46"/>
    </row>
    <row r="43" spans="2:10" ht="18" customHeight="1" x14ac:dyDescent="0.15">
      <c r="B43" s="361" t="s">
        <v>227</v>
      </c>
      <c r="C43" s="362">
        <f>SUM(C26:C42)</f>
        <v>3700</v>
      </c>
      <c r="D43" s="363">
        <f>IF(C14=0,0,C43/C14)</f>
        <v>3.2115380858913231E-2</v>
      </c>
      <c r="E43" s="362">
        <f>SUM(E26:E42)</f>
        <v>3831</v>
      </c>
      <c r="F43" s="363">
        <f>IF(E14=0,0,E43/E14)</f>
        <v>2.2793923879390103E-2</v>
      </c>
      <c r="G43" s="362">
        <f>SUM(G26:G42)</f>
        <v>3966.93</v>
      </c>
      <c r="H43" s="363">
        <f>IF(G14=0,0,G43/G14)</f>
        <v>1.8042639166026921E-2</v>
      </c>
    </row>
    <row r="44" spans="2:10" ht="18" customHeight="1" x14ac:dyDescent="0.15">
      <c r="B44" s="364" t="s">
        <v>345</v>
      </c>
      <c r="C44" s="365">
        <f>C23-C24-C43</f>
        <v>63783.517225817777</v>
      </c>
      <c r="D44" s="366">
        <f>IF(C14=0,0,C44/C14)</f>
        <v>0.55363025627788931</v>
      </c>
      <c r="E44" s="365">
        <f>E23-E24-E43</f>
        <v>101543.20817682322</v>
      </c>
      <c r="F44" s="366">
        <f>IF(E14=0,0,E44/E14)</f>
        <v>0.60416814347469872</v>
      </c>
      <c r="G44" s="365">
        <f>G23-G24-G43</f>
        <v>134111.79360018356</v>
      </c>
      <c r="H44" s="366">
        <f>IF(G14=0,0,G44/G14)</f>
        <v>0.60997564863428155</v>
      </c>
    </row>
    <row r="45" spans="2:10" ht="18" customHeight="1" thickBot="1" x14ac:dyDescent="0.2">
      <c r="B45" s="368" t="s">
        <v>142</v>
      </c>
      <c r="C45" s="369"/>
      <c r="D45" s="370"/>
      <c r="E45" s="369"/>
      <c r="F45" s="371"/>
      <c r="G45" s="369"/>
      <c r="H45" s="370"/>
    </row>
    <row r="46" spans="2:10" ht="18" customHeight="1" thickTop="1" x14ac:dyDescent="0.15">
      <c r="B46" s="367" t="s">
        <v>291</v>
      </c>
      <c r="C46" s="343">
        <f>+'Amortization&amp;Depreciation'!O138+'Amortization&amp;Depreciation'!O149</f>
        <v>3000</v>
      </c>
      <c r="D46" s="354"/>
      <c r="E46" s="343">
        <f>+'Amortization&amp;Depreciation'!O141+'Amortization&amp;Depreciation'!O152</f>
        <v>3000</v>
      </c>
      <c r="F46" s="356"/>
      <c r="G46" s="343">
        <f>+'Amortization&amp;Depreciation'!O144+'Amortization&amp;Depreciation'!O155</f>
        <v>3000</v>
      </c>
      <c r="H46" s="354"/>
    </row>
    <row r="47" spans="2:10" ht="18" customHeight="1" x14ac:dyDescent="0.15">
      <c r="B47" s="224" t="s">
        <v>31</v>
      </c>
      <c r="C47" s="30">
        <f>+'Amortization&amp;Depreciation'!O119</f>
        <v>33000</v>
      </c>
      <c r="D47" s="212"/>
      <c r="E47" s="30">
        <f>+'Amortization&amp;Depreciation'!O123</f>
        <v>33000</v>
      </c>
      <c r="F47" s="220"/>
      <c r="G47" s="30">
        <f>+'Amortization&amp;Depreciation'!O127</f>
        <v>33000</v>
      </c>
      <c r="H47" s="212"/>
    </row>
    <row r="48" spans="2:10" ht="18" customHeight="1" x14ac:dyDescent="0.15">
      <c r="B48" s="224" t="s">
        <v>58</v>
      </c>
      <c r="C48" s="223"/>
      <c r="D48" s="212"/>
      <c r="E48" s="223"/>
      <c r="F48" s="220"/>
      <c r="G48" s="223"/>
      <c r="H48" s="212"/>
    </row>
    <row r="49" spans="1:17" ht="18" customHeight="1" x14ac:dyDescent="0.15">
      <c r="B49" s="225" t="s">
        <v>54</v>
      </c>
      <c r="C49" s="30">
        <f>'5b-OpExYrs1-3'!C28</f>
        <v>11319.972125461427</v>
      </c>
      <c r="D49" s="212"/>
      <c r="E49" s="30">
        <f>'5b-OpExYrs1-3'!E28</f>
        <v>10047.882603353741</v>
      </c>
      <c r="F49" s="220"/>
      <c r="G49" s="30">
        <f>'5b-OpExYrs1-3'!G28</f>
        <v>8635.6044266261797</v>
      </c>
      <c r="H49" s="212"/>
    </row>
    <row r="50" spans="1:17" ht="18" customHeight="1" x14ac:dyDescent="0.15">
      <c r="B50" s="225" t="s">
        <v>55</v>
      </c>
      <c r="C50" s="30">
        <f>'5b-OpExYrs1-3'!C29</f>
        <v>0</v>
      </c>
      <c r="D50" s="212"/>
      <c r="E50" s="30">
        <f>'5b-OpExYrs1-3'!E29</f>
        <v>0</v>
      </c>
      <c r="F50" s="220"/>
      <c r="G50" s="30">
        <f>'5b-OpExYrs1-3'!G29</f>
        <v>0</v>
      </c>
      <c r="H50" s="212"/>
    </row>
    <row r="51" spans="1:17" ht="18" customHeight="1" x14ac:dyDescent="0.15">
      <c r="B51" s="225" t="s">
        <v>144</v>
      </c>
      <c r="C51" s="30">
        <f>'5b-OpExYrs1-3'!C30</f>
        <v>0</v>
      </c>
      <c r="D51" s="212"/>
      <c r="E51" s="30">
        <f>'5b-OpExYrs1-3'!E30</f>
        <v>0</v>
      </c>
      <c r="F51" s="220"/>
      <c r="G51" s="30">
        <f>'5b-OpExYrs1-3'!G30</f>
        <v>0</v>
      </c>
      <c r="H51" s="212"/>
    </row>
    <row r="52" spans="1:17" ht="18" customHeight="1" x14ac:dyDescent="0.15">
      <c r="B52" s="225" t="s">
        <v>145</v>
      </c>
      <c r="C52" s="30">
        <f>'5b-OpExYrs1-3'!C31</f>
        <v>5282.6875466089732</v>
      </c>
      <c r="D52" s="212"/>
      <c r="E52" s="30">
        <f>'5b-OpExYrs1-3'!E31</f>
        <v>3919.6488859375568</v>
      </c>
      <c r="F52" s="220"/>
      <c r="G52" s="30">
        <f>'5b-OpExYrs1-3'!G31</f>
        <v>2458.0760502760268</v>
      </c>
      <c r="H52" s="212"/>
    </row>
    <row r="53" spans="1:17" ht="18" customHeight="1" x14ac:dyDescent="0.15">
      <c r="B53" s="225" t="s">
        <v>146</v>
      </c>
      <c r="C53" s="30">
        <f>'5b-OpExYrs1-3'!C32</f>
        <v>0</v>
      </c>
      <c r="D53" s="212"/>
      <c r="E53" s="30">
        <f>'5b-OpExYrs1-3'!E32</f>
        <v>0</v>
      </c>
      <c r="F53" s="220"/>
      <c r="G53" s="30">
        <f>'5b-OpExYrs1-3'!G32</f>
        <v>0</v>
      </c>
      <c r="H53" s="212"/>
    </row>
    <row r="54" spans="1:17" ht="18" customHeight="1" x14ac:dyDescent="0.15">
      <c r="B54" s="187" t="s">
        <v>283</v>
      </c>
      <c r="C54" s="30">
        <f>+'6a-CashFlowYear1'!O26</f>
        <v>0</v>
      </c>
      <c r="D54" s="212"/>
      <c r="E54" s="30">
        <f>'6b-CashFlowYrs1-3'!O25</f>
        <v>0</v>
      </c>
      <c r="F54" s="220"/>
      <c r="G54" s="30">
        <f>+'6b-CashFlowYrs1-3'!AB25</f>
        <v>0</v>
      </c>
      <c r="H54" s="212"/>
    </row>
    <row r="55" spans="1:17" ht="18" customHeight="1" x14ac:dyDescent="0.15">
      <c r="B55" s="184" t="s">
        <v>282</v>
      </c>
      <c r="C55" s="30">
        <f>+'3a-SalesForecastYear1'!O53*'4-AdditionalInputs'!$C$12</f>
        <v>0</v>
      </c>
      <c r="D55" s="212"/>
      <c r="E55" s="30">
        <f>'3b-SalesForecastYrs1-3'!O47*'4-AdditionalInputs'!$D$12</f>
        <v>0</v>
      </c>
      <c r="F55" s="220"/>
      <c r="G55" s="30">
        <f>'3b-SalesForecastYrs1-3'!AD47*'4-AdditionalInputs'!$E$12</f>
        <v>0</v>
      </c>
      <c r="H55" s="212"/>
    </row>
    <row r="56" spans="1:17" ht="18" customHeight="1" x14ac:dyDescent="0.15">
      <c r="B56" s="210" t="s">
        <v>158</v>
      </c>
      <c r="C56" s="36">
        <f>SUM(C46:C55)</f>
        <v>52602.659672070396</v>
      </c>
      <c r="D56" s="221">
        <f>IF(C14=0,0,C56/C14)</f>
        <v>0.45658228366495585</v>
      </c>
      <c r="E56" s="36">
        <f>SUM(E46:E55)</f>
        <v>49967.531489291301</v>
      </c>
      <c r="F56" s="221">
        <f>IF(E14=0,0,E56/E14)</f>
        <v>0.29729995019784228</v>
      </c>
      <c r="G56" s="36">
        <f>SUM(G46:G55)</f>
        <v>47093.680476902206</v>
      </c>
      <c r="H56" s="221">
        <f>IF(G14=0,0,G56/G14)</f>
        <v>0.21419442335632669</v>
      </c>
    </row>
    <row r="57" spans="1:17" ht="18" customHeight="1" x14ac:dyDescent="0.15">
      <c r="B57" s="47" t="s">
        <v>235</v>
      </c>
      <c r="C57" s="36">
        <f>C23-C24-C43-C56</f>
        <v>11180.857553747381</v>
      </c>
      <c r="D57" s="221">
        <f>IF(C14=0,0,C57/C14)</f>
        <v>9.704797261293352E-2</v>
      </c>
      <c r="E57" s="36">
        <f>E23-E24-E43-E56</f>
        <v>51575.676687531915</v>
      </c>
      <c r="F57" s="221">
        <f>IF(E14=0,0,E57/E14)</f>
        <v>0.30686819327685644</v>
      </c>
      <c r="G57" s="36">
        <f>G23-G24-G43-G56</f>
        <v>87018.113123281364</v>
      </c>
      <c r="H57" s="221">
        <f>IF(G14=0,0,G57/G14)</f>
        <v>0.39578122527795484</v>
      </c>
    </row>
    <row r="58" spans="1:17" x14ac:dyDescent="0.15">
      <c r="B58" s="26" t="s">
        <v>236</v>
      </c>
      <c r="C58" s="60">
        <f>+'7a-IncomeStatementYear1'!O59</f>
        <v>0</v>
      </c>
      <c r="D58" s="221"/>
      <c r="E58" s="60">
        <f>O65</f>
        <v>0</v>
      </c>
      <c r="F58" s="221"/>
      <c r="G58" s="60">
        <f>O69</f>
        <v>0</v>
      </c>
      <c r="H58" s="221"/>
    </row>
    <row r="59" spans="1:17" x14ac:dyDescent="0.15">
      <c r="B59" s="210" t="s">
        <v>136</v>
      </c>
      <c r="C59" s="36">
        <f>C57-C58</f>
        <v>11180.857553747381</v>
      </c>
      <c r="D59" s="221">
        <f>IF(C14=0,0,C59/C14)</f>
        <v>9.704797261293352E-2</v>
      </c>
      <c r="E59" s="36">
        <f>E57-E58</f>
        <v>51575.676687531915</v>
      </c>
      <c r="F59" s="221">
        <f>IF(E14=0,0,E59/E14)</f>
        <v>0.30686819327685644</v>
      </c>
      <c r="G59" s="36">
        <f>G57-G58</f>
        <v>87018.113123281364</v>
      </c>
      <c r="H59" s="221">
        <f>IF(G14=0,0,G59/G14)</f>
        <v>0.39578122527795484</v>
      </c>
    </row>
    <row r="60" spans="1:17" x14ac:dyDescent="0.15">
      <c r="Q60" s="5"/>
    </row>
    <row r="61" spans="1:17" x14ac:dyDescent="0.15">
      <c r="A61" s="444"/>
      <c r="B61" s="444"/>
      <c r="C61" s="444"/>
      <c r="D61" s="453"/>
      <c r="E61" s="444"/>
      <c r="F61" s="454"/>
      <c r="G61" s="444"/>
      <c r="H61" s="453"/>
      <c r="I61" s="444"/>
      <c r="J61" s="444"/>
      <c r="K61" s="444"/>
      <c r="L61" s="444"/>
      <c r="M61" s="444"/>
      <c r="N61" s="444"/>
      <c r="O61" s="444"/>
      <c r="P61" s="444"/>
      <c r="Q61" s="5"/>
    </row>
    <row r="62" spans="1:17" x14ac:dyDescent="0.15">
      <c r="A62" s="444"/>
      <c r="B62" s="455" t="s">
        <v>298</v>
      </c>
      <c r="C62" s="455" t="s">
        <v>314</v>
      </c>
      <c r="D62" s="456" t="s">
        <v>315</v>
      </c>
      <c r="E62" s="455" t="s">
        <v>316</v>
      </c>
      <c r="F62" s="456" t="s">
        <v>317</v>
      </c>
      <c r="G62" s="455" t="s">
        <v>318</v>
      </c>
      <c r="H62" s="456" t="s">
        <v>319</v>
      </c>
      <c r="I62" s="455" t="s">
        <v>320</v>
      </c>
      <c r="J62" s="456" t="s">
        <v>321</v>
      </c>
      <c r="K62" s="455" t="s">
        <v>322</v>
      </c>
      <c r="L62" s="456" t="s">
        <v>323</v>
      </c>
      <c r="M62" s="455" t="s">
        <v>324</v>
      </c>
      <c r="N62" s="456" t="s">
        <v>325</v>
      </c>
      <c r="O62" s="455" t="s">
        <v>326</v>
      </c>
      <c r="P62" s="444"/>
      <c r="Q62" s="5"/>
    </row>
    <row r="63" spans="1:17" x14ac:dyDescent="0.15">
      <c r="A63" s="444"/>
      <c r="B63" s="446" t="s">
        <v>343</v>
      </c>
      <c r="C63" s="447">
        <f>'3b-SalesForecastYrs1-3'!C49-('2b-PayrollYrs1-3'!$E$26/12)-'6b-CashFlowYrs1-3'!C19-'Amortization&amp;Depreciation'!C123-'Amortization&amp;Depreciation'!C19-'Amortization&amp;Depreciation'!C39-'Amortization&amp;Depreciation'!C59-'Amortization&amp;Depreciation'!C79-'Amortization&amp;Depreciation'!C99-'6b-CashFlowYrs1-3'!C25-$E$55/12</f>
        <v>2721.6489030770899</v>
      </c>
      <c r="D63" s="447">
        <f>'3b-SalesForecastYrs1-3'!D49-('2b-PayrollYrs1-3'!$E$26/12)-'6b-CashFlowYrs1-3'!D19-'Amortization&amp;Depreciation'!D123-'Amortization&amp;Depreciation'!D19-'Amortization&amp;Depreciation'!D39-'Amortization&amp;Depreciation'!D59-'Amortization&amp;Depreciation'!D79-'Amortization&amp;Depreciation'!D99-'6b-CashFlowYrs1-3'!D25-$E$55/12</f>
        <v>3022.9617303529285</v>
      </c>
      <c r="E63" s="447">
        <f>'3b-SalesForecastYrs1-3'!E49-('2b-PayrollYrs1-3'!$E$26/12)-'6b-CashFlowYrs1-3'!E19-'Amortization&amp;Depreciation'!E123-'Amortization&amp;Depreciation'!E19-'Amortization&amp;Depreciation'!E39-'Amortization&amp;Depreciation'!E59-'Amortization&amp;Depreciation'!E79-'Amortization&amp;Depreciation'!E99-'6b-CashFlowYrs1-3'!E25-$E$55/12</f>
        <v>3332.8947571716244</v>
      </c>
      <c r="F63" s="447">
        <f>'3b-SalesForecastYrs1-3'!F49-('2b-PayrollYrs1-3'!$E$26/12)-'6b-CashFlowYrs1-3'!F19-'Amortization&amp;Depreciation'!F123-'Amortization&amp;Depreciation'!F19-'Amortization&amp;Depreciation'!F39-'Amortization&amp;Depreciation'!F59-'Amortization&amp;Depreciation'!F79-'Amortization&amp;Depreciation'!F99-'6b-CashFlowYrs1-3'!F25-$E$55/12</f>
        <v>3651.7035924593088</v>
      </c>
      <c r="G63" s="447">
        <f>'3b-SalesForecastYrs1-3'!G49-('2b-PayrollYrs1-3'!$E$26/12)-'6b-CashFlowYrs1-3'!G19-'Amortization&amp;Depreciation'!G123-'Amortization&amp;Depreciation'!G19-'Amortization&amp;Depreciation'!G39-'Amortization&amp;Depreciation'!G59-'Amortization&amp;Depreciation'!G79-'Amortization&amp;Depreciation'!G99-'6b-CashFlowYrs1-3'!G25-$E$55/12</f>
        <v>3979.6514910986853</v>
      </c>
      <c r="H63" s="447">
        <f>'3b-SalesForecastYrs1-3'!H49-('2b-PayrollYrs1-3'!$E$26/12)-'6b-CashFlowYrs1-3'!H19-'Amortization&amp;Depreciation'!H123-'Amortization&amp;Depreciation'!H19-'Amortization&amp;Depreciation'!H39-'Amortization&amp;Depreciation'!H59-'Amortization&amp;Depreciation'!H79-'Amortization&amp;Depreciation'!H99-'6b-CashFlowYrs1-3'!H25-$E$55/12</f>
        <v>4317.009583135331</v>
      </c>
      <c r="I63" s="447">
        <f>'3b-SalesForecastYrs1-3'!I49-('2b-PayrollYrs1-3'!$E$26/12)-'6b-CashFlowYrs1-3'!I19-'Amortization&amp;Depreciation'!I123-'Amortization&amp;Depreciation'!I19-'Amortization&amp;Depreciation'!I39-'Amortization&amp;Depreciation'!I59-'Amortization&amp;Depreciation'!I79-'Amortization&amp;Depreciation'!I99-'6b-CashFlowYrs1-3'!I25-$E$55/12</f>
        <v>4664.0571098588061</v>
      </c>
      <c r="J63" s="447">
        <f>'3b-SalesForecastYrs1-3'!J49-('2b-PayrollYrs1-3'!$E$26/12)-'6b-CashFlowYrs1-3'!J19-'Amortization&amp;Depreciation'!J123-'Amortization&amp;Depreciation'!J19-'Amortization&amp;Depreciation'!J39-'Amortization&amp;Depreciation'!J59-'Amortization&amp;Depreciation'!J79-'Amortization&amp;Depreciation'!J99-'6b-CashFlowYrs1-3'!J25-$E$55/12</f>
        <v>5021.0816669648211</v>
      </c>
      <c r="K63" s="447">
        <f>'3b-SalesForecastYrs1-3'!K49-('2b-PayrollYrs1-3'!$E$26/12)-'6b-CashFlowYrs1-3'!K19-'Amortization&amp;Depreciation'!K123-'Amortization&amp;Depreciation'!K19-'Amortization&amp;Depreciation'!K39-'Amortization&amp;Depreciation'!K59-'Amortization&amp;Depreciation'!K79-'Amortization&amp;Depreciation'!K99-'6b-CashFlowYrs1-3'!K25-$E$55/12</f>
        <v>5388.3794550108614</v>
      </c>
      <c r="L63" s="447">
        <f>'3b-SalesForecastYrs1-3'!L49-('2b-PayrollYrs1-3'!$E$26/12)-'6b-CashFlowYrs1-3'!L19-'Amortization&amp;Depreciation'!L123-'Amortization&amp;Depreciation'!L19-'Amortization&amp;Depreciation'!L39-'Amortization&amp;Depreciation'!L59-'Amortization&amp;Depreciation'!L79-'Amortization&amp;Depreciation'!L99-'6b-CashFlowYrs1-3'!L25-$E$55/12</f>
        <v>5766.2555373840696</v>
      </c>
      <c r="M63" s="447">
        <f>'3b-SalesForecastYrs1-3'!M49-('2b-PayrollYrs1-3'!$E$26/12)-'6b-CashFlowYrs1-3'!M19-'Amortization&amp;Depreciation'!M123-'Amortization&amp;Depreciation'!M19-'Amortization&amp;Depreciation'!M39-'Amortization&amp;Depreciation'!M59-'Amortization&amp;Depreciation'!M79-'Amortization&amp;Depreciation'!M99-'6b-CashFlowYrs1-3'!M25-$E$55/12</f>
        <v>6155.0241060067565</v>
      </c>
      <c r="N63" s="447">
        <f>'3b-SalesForecastYrs1-3'!N49-('2b-PayrollYrs1-3'!$E$26/12)-'6b-CashFlowYrs1-3'!N19-'Amortization&amp;Depreciation'!N123-'Amortization&amp;Depreciation'!N19-'Amortization&amp;Depreciation'!N39-'Amortization&amp;Depreciation'!N59-'Amortization&amp;Depreciation'!N79-'Amortization&amp;Depreciation'!N99-'6b-CashFlowYrs1-3'!N25-$E$55/12</f>
        <v>6555.0087550116277</v>
      </c>
      <c r="O63" s="447">
        <f>SUM(C63:N63)</f>
        <v>54575.676687531923</v>
      </c>
      <c r="P63" s="444"/>
      <c r="Q63" s="5"/>
    </row>
    <row r="64" spans="1:17" x14ac:dyDescent="0.15">
      <c r="A64" s="444"/>
      <c r="B64" s="446" t="s">
        <v>326</v>
      </c>
      <c r="C64" s="447">
        <f>C63</f>
        <v>2721.6489030770899</v>
      </c>
      <c r="D64" s="447">
        <f>D63+C64</f>
        <v>5744.6106334300184</v>
      </c>
      <c r="E64" s="447">
        <f t="shared" ref="E64:N64" si="0">E63+D64</f>
        <v>9077.5053906016437</v>
      </c>
      <c r="F64" s="447">
        <f t="shared" si="0"/>
        <v>12729.208983060953</v>
      </c>
      <c r="G64" s="447">
        <f t="shared" si="0"/>
        <v>16708.860474159639</v>
      </c>
      <c r="H64" s="447">
        <f t="shared" si="0"/>
        <v>21025.870057294971</v>
      </c>
      <c r="I64" s="447">
        <f t="shared" si="0"/>
        <v>25689.927167153779</v>
      </c>
      <c r="J64" s="447">
        <f t="shared" si="0"/>
        <v>30711.008834118598</v>
      </c>
      <c r="K64" s="447">
        <f t="shared" si="0"/>
        <v>36099.388289129463</v>
      </c>
      <c r="L64" s="447">
        <f t="shared" si="0"/>
        <v>41865.643826513537</v>
      </c>
      <c r="M64" s="447">
        <f t="shared" si="0"/>
        <v>48020.667932520293</v>
      </c>
      <c r="N64" s="447">
        <f t="shared" si="0"/>
        <v>54575.676687531923</v>
      </c>
      <c r="O64" s="447">
        <f t="shared" ref="O64" si="1">SUM(C64:N64)</f>
        <v>304970.01717859192</v>
      </c>
      <c r="P64" s="444"/>
      <c r="Q64" s="5"/>
    </row>
    <row r="65" spans="1:23" x14ac:dyDescent="0.15">
      <c r="A65" s="444"/>
      <c r="B65" s="446" t="s">
        <v>342</v>
      </c>
      <c r="C65" s="447">
        <f>IF(C64&gt;0,C63*'4-AdditionalInputs'!$C$40, 0)</f>
        <v>0</v>
      </c>
      <c r="D65" s="457">
        <f>IF(D64&gt;0,IF(C64&lt;0,(D63-ABS(C64))*'4-AdditionalInputs'!$C$40,D63*'4-AdditionalInputs'!$C$40),IF(C64&gt;0,-(C64*'4-AdditionalInputs'!$C$40),0))</f>
        <v>0</v>
      </c>
      <c r="E65" s="457">
        <f>IF(E64&gt;0,IF(D64&lt;0,(E63-ABS(D64))*'4-AdditionalInputs'!$C$40,E63*'4-AdditionalInputs'!$C$40),IF(D64&gt;0,-(D64*'4-AdditionalInputs'!$C$40),0))</f>
        <v>0</v>
      </c>
      <c r="F65" s="457">
        <f>IF(F64&gt;0,IF(E64&lt;0,(F63-ABS(E64))*'4-AdditionalInputs'!$C$40,F63*'4-AdditionalInputs'!$C$40),IF(E64&gt;0,-(E64*'4-AdditionalInputs'!$C$40),0))</f>
        <v>0</v>
      </c>
      <c r="G65" s="457">
        <f>IF(G64&gt;0,IF(F64&lt;0,(G63-ABS(F64))*'4-AdditionalInputs'!$C$40,G63*'4-AdditionalInputs'!$C$40),IF(F64&gt;0,-(F64*'4-AdditionalInputs'!$C$40),0))</f>
        <v>0</v>
      </c>
      <c r="H65" s="457">
        <f>IF(H64&gt;0,IF(G64&lt;0,(H63-ABS(G64))*'4-AdditionalInputs'!$C$40,H63*'4-AdditionalInputs'!$C$40),IF(G64&gt;0,-(G64*'4-AdditionalInputs'!$C$40),0))</f>
        <v>0</v>
      </c>
      <c r="I65" s="457">
        <f>IF(I64&gt;0,IF(H64&lt;0,(I63-ABS(H64))*'4-AdditionalInputs'!$C$40,I63*'4-AdditionalInputs'!$C$40),IF(H64&gt;0,-(H64*'4-AdditionalInputs'!$C$40),0))</f>
        <v>0</v>
      </c>
      <c r="J65" s="457">
        <f>IF(J64&gt;0,IF(I64&lt;0,(J63-ABS(I64))*'4-AdditionalInputs'!$C$40,J63*'4-AdditionalInputs'!$C$40),IF(I64&gt;0,-(I64*'4-AdditionalInputs'!$C$40),0))</f>
        <v>0</v>
      </c>
      <c r="K65" s="457">
        <f>IF(K64&gt;0,IF(J64&lt;0,(K63-ABS(J64))*'4-AdditionalInputs'!$C$40,K63*'4-AdditionalInputs'!$C$40),IF(J64&gt;0,-(J64*'4-AdditionalInputs'!$C$40),0))</f>
        <v>0</v>
      </c>
      <c r="L65" s="457">
        <f>IF(L64&gt;0,IF(K64&lt;0,(L63-ABS(K64))*'4-AdditionalInputs'!$C$40,L63*'4-AdditionalInputs'!$C$40),IF(K64&gt;0,-(K64*'4-AdditionalInputs'!$C$40),0))</f>
        <v>0</v>
      </c>
      <c r="M65" s="457">
        <f>IF(M64&gt;0,IF(L64&lt;0,(M63-ABS(L64))*'4-AdditionalInputs'!$C$40,M63*'4-AdditionalInputs'!$C$40),IF(L64&gt;0,-(L64*'4-AdditionalInputs'!$C$40),0))</f>
        <v>0</v>
      </c>
      <c r="N65" s="457">
        <f>IF(N64&gt;0,IF(M64&lt;0,(N63-ABS(M64))*'4-AdditionalInputs'!$C$40,N63*'4-AdditionalInputs'!$C$40),IF(M64&gt;0,-(M64*'4-AdditionalInputs'!$C$40),0))</f>
        <v>0</v>
      </c>
      <c r="O65" s="457">
        <f>SUM(C65:N65)</f>
        <v>0</v>
      </c>
      <c r="P65" s="444"/>
      <c r="Q65" s="5"/>
    </row>
    <row r="66" spans="1:23" x14ac:dyDescent="0.15">
      <c r="A66" s="444"/>
      <c r="B66" s="444"/>
      <c r="C66" s="444"/>
      <c r="D66" s="453"/>
      <c r="E66" s="444"/>
      <c r="F66" s="454"/>
      <c r="G66" s="444"/>
      <c r="H66" s="453"/>
      <c r="I66" s="444"/>
      <c r="J66" s="444"/>
      <c r="K66" s="444"/>
      <c r="L66" s="444"/>
      <c r="M66" s="444"/>
      <c r="N66" s="444"/>
      <c r="O66" s="444"/>
      <c r="P66" s="444"/>
      <c r="Q66" s="5"/>
      <c r="R66" s="5"/>
      <c r="S66" s="5"/>
    </row>
    <row r="67" spans="1:23" x14ac:dyDescent="0.15">
      <c r="A67" s="444"/>
      <c r="B67" s="446" t="s">
        <v>344</v>
      </c>
      <c r="C67" s="447">
        <f>('3b-SalesForecastYrs1-3'!R49-('2b-PayrollYrs1-3'!$G$26/12)-'6b-CashFlowYrs1-3'!P19)-'Amortization&amp;Depreciation'!C127-'Amortization&amp;Depreciation'!C23-'Amortization&amp;Depreciation'!C43-'Amortization&amp;Depreciation'!C63-'Amortization&amp;Depreciation'!C83-'Amortization&amp;Depreciation'!C103-'6b-CashFlowYrs1-3'!P25-$G$55/12</f>
        <v>5852.2960972964283</v>
      </c>
      <c r="D67" s="447">
        <f>('3b-SalesForecastYrs1-3'!S49-('2b-PayrollYrs1-3'!$G$26/12)-'6b-CashFlowYrs1-3'!Q19)-'Amortization&amp;Depreciation'!D127-'Amortization&amp;Depreciation'!D23-'Amortization&amp;Depreciation'!D43-'Amortization&amp;Depreciation'!D63-'Amortization&amp;Depreciation'!D83-'Amortization&amp;Depreciation'!D103-'6b-CashFlowYrs1-3'!Q25-$G$55/12</f>
        <v>6133.4451377776913</v>
      </c>
      <c r="E67" s="447">
        <f>('3b-SalesForecastYrs1-3'!T49-('2b-PayrollYrs1-3'!$G$26/12)-'6b-CashFlowYrs1-3'!R19)-'Amortization&amp;Depreciation'!E127-'Amortization&amp;Depreciation'!E23-'Amortization&amp;Depreciation'!E43-'Amortization&amp;Depreciation'!E63-'Amortization&amp;Depreciation'!E83-'Amortization&amp;Depreciation'!E103-'6b-CashFlowYrs1-3'!R25-$G$55/12</f>
        <v>6419.9613905501665</v>
      </c>
      <c r="F67" s="447">
        <f>('3b-SalesForecastYrs1-3'!U49-('2b-PayrollYrs1-3'!$G$26/12)-'6b-CashFlowYrs1-3'!S19)-'Amortization&amp;Depreciation'!F127-'Amortization&amp;Depreciation'!F23-'Amortization&amp;Depreciation'!F43-'Amortization&amp;Depreciation'!F63-'Amortization&amp;Depreciation'!F83-'Amortization&amp;Depreciation'!F103-'6b-CashFlowYrs1-3'!S25-$G$55/12</f>
        <v>6711.9503835460946</v>
      </c>
      <c r="G67" s="447">
        <f>('3b-SalesForecastYrs1-3'!V49-('2b-PayrollYrs1-3'!$G$26/12)-'6b-CashFlowYrs1-3'!T19)-'Amortization&amp;Depreciation'!G127-'Amortization&amp;Depreciation'!G23-'Amortization&amp;Depreciation'!G43-'Amortization&amp;Depreciation'!G63-'Amortization&amp;Depreciation'!G83-'Amortization&amp;Depreciation'!G103-'6b-CashFlowYrs1-3'!T25-$G$55/12</f>
        <v>7009.5197418233174</v>
      </c>
      <c r="H67" s="447">
        <f>('3b-SalesForecastYrs1-3'!W49-('2b-PayrollYrs1-3'!$G$26/12)-'6b-CashFlowYrs1-3'!U19)-'Amortization&amp;Depreciation'!H127-'Amortization&amp;Depreciation'!H23-'Amortization&amp;Depreciation'!H43-'Amortization&amp;Depreciation'!H63-'Amortization&amp;Depreciation'!H83-'Amortization&amp;Depreciation'!H103-'6b-CashFlowYrs1-3'!U25-$G$55/12</f>
        <v>7312.7792294045821</v>
      </c>
      <c r="I67" s="447">
        <f>('3b-SalesForecastYrs1-3'!X49-('2b-PayrollYrs1-3'!$G$26/12)-'6b-CashFlowYrs1-3'!V19)-'Amortization&amp;Depreciation'!I127-'Amortization&amp;Depreciation'!I23-'Amortization&amp;Depreciation'!I43-'Amortization&amp;Depreciation'!I63-'Amortization&amp;Depreciation'!I83-'Amortization&amp;Depreciation'!I103-'6b-CashFlowYrs1-3'!V25-$G$55/12</f>
        <v>7621.8407919528345</v>
      </c>
      <c r="J67" s="447">
        <f>('3b-SalesForecastYrs1-3'!Y49-('2b-PayrollYrs1-3'!$G$26/12)-'6b-CashFlowYrs1-3'!W19)-'Amortization&amp;Depreciation'!J127-'Amortization&amp;Depreciation'!J23-'Amortization&amp;Depreciation'!J43-'Amortization&amp;Depreciation'!J63-'Amortization&amp;Depreciation'!J83-'Amortization&amp;Depreciation'!J103-'6b-CashFlowYrs1-3'!W25-$G$55/12</f>
        <v>7936.8186002991879</v>
      </c>
      <c r="K67" s="447">
        <f>('3b-SalesForecastYrs1-3'!Z49-('2b-PayrollYrs1-3'!$G$26/12)-'6b-CashFlowYrs1-3'!X19)-'Amortization&amp;Depreciation'!K127-'Amortization&amp;Depreciation'!K23-'Amortization&amp;Depreciation'!K43-'Amortization&amp;Depreciation'!K63-'Amortization&amp;Depreciation'!K83-'Amortization&amp;Depreciation'!K103-'6b-CashFlowYrs1-3'!X25-$G$55/12</f>
        <v>8257.8290948406138</v>
      </c>
      <c r="L67" s="447">
        <f>('3b-SalesForecastYrs1-3'!AA49-('2b-PayrollYrs1-3'!$G$26/12)-'6b-CashFlowYrs1-3'!Y19)-'Amortization&amp;Depreciation'!L127-'Amortization&amp;Depreciation'!L23-'Amortization&amp;Depreciation'!L43-'Amortization&amp;Depreciation'!L63-'Amortization&amp;Depreciation'!L83-'Amortization&amp;Depreciation'!L103-'6b-CashFlowYrs1-3'!Y25-$G$55/12</f>
        <v>8584.9910308247636</v>
      </c>
      <c r="M67" s="447">
        <f>('3b-SalesForecastYrs1-3'!AB49-('2b-PayrollYrs1-3'!$G$26/12)-'6b-CashFlowYrs1-3'!Z19)-'Amortization&amp;Depreciation'!M127-'Amortization&amp;Depreciation'!M23-'Amortization&amp;Depreciation'!M43-'Amortization&amp;Depreciation'!M63-'Amortization&amp;Depreciation'!M83-'Amortization&amp;Depreciation'!M103-'6b-CashFlowYrs1-3'!Z25-$G$55/12</f>
        <v>8918.4255245396052</v>
      </c>
      <c r="N67" s="447">
        <f>('3b-SalesForecastYrs1-3'!AC49-('2b-PayrollYrs1-3'!$G$26/12)-'6b-CashFlowYrs1-3'!AA19)-'Amortization&amp;Depreciation'!N127-'Amortization&amp;Depreciation'!N23-'Amortization&amp;Depreciation'!N43-'Amortization&amp;Depreciation'!N63-'Amortization&amp;Depreciation'!N83-'Amortization&amp;Depreciation'!N103-'6b-CashFlowYrs1-3'!AA25-$G$55/12</f>
        <v>9258.256100426046</v>
      </c>
      <c r="O67" s="447">
        <f>SUM(C67:N67)</f>
        <v>90018.113123281335</v>
      </c>
      <c r="P67" s="444"/>
      <c r="Q67" s="5"/>
      <c r="R67" s="5"/>
      <c r="S67" s="5"/>
    </row>
    <row r="68" spans="1:23" x14ac:dyDescent="0.15">
      <c r="A68" s="444"/>
      <c r="B68" s="446" t="s">
        <v>326</v>
      </c>
      <c r="C68" s="447">
        <f>C67</f>
        <v>5852.2960972964283</v>
      </c>
      <c r="D68" s="447">
        <f>D67+C68</f>
        <v>11985.74123507412</v>
      </c>
      <c r="E68" s="447">
        <f t="shared" ref="E68:N68" si="2">E67+D68</f>
        <v>18405.702625624286</v>
      </c>
      <c r="F68" s="447">
        <f t="shared" si="2"/>
        <v>25117.653009170383</v>
      </c>
      <c r="G68" s="447">
        <f t="shared" si="2"/>
        <v>32127.172750993701</v>
      </c>
      <c r="H68" s="447">
        <f t="shared" si="2"/>
        <v>39439.951980398284</v>
      </c>
      <c r="I68" s="447">
        <f t="shared" si="2"/>
        <v>47061.792772351117</v>
      </c>
      <c r="J68" s="447">
        <f t="shared" si="2"/>
        <v>54998.611372650303</v>
      </c>
      <c r="K68" s="447">
        <f t="shared" si="2"/>
        <v>63256.440467490916</v>
      </c>
      <c r="L68" s="447">
        <f t="shared" si="2"/>
        <v>71841.43149831568</v>
      </c>
      <c r="M68" s="447">
        <f t="shared" si="2"/>
        <v>80759.857022855285</v>
      </c>
      <c r="N68" s="447">
        <f t="shared" si="2"/>
        <v>90018.113123281335</v>
      </c>
      <c r="O68" s="447">
        <f t="shared" ref="O68:O69" si="3">SUM(C68:N68)</f>
        <v>540864.76395550184</v>
      </c>
      <c r="P68" s="444"/>
      <c r="Q68" s="5"/>
      <c r="R68" s="5"/>
      <c r="S68" s="5"/>
    </row>
    <row r="69" spans="1:23" x14ac:dyDescent="0.15">
      <c r="A69" s="444"/>
      <c r="B69" s="446" t="s">
        <v>342</v>
      </c>
      <c r="C69" s="447">
        <f>IF(C68&gt;0,C67*'4-AdditionalInputs'!$C$41, 0)</f>
        <v>0</v>
      </c>
      <c r="D69" s="457">
        <f>IF(D68&gt;0,IF(C68&lt;0,(D67-ABS(C68))*'4-AdditionalInputs'!$C$41,D67*'4-AdditionalInputs'!$C$41),IF(C68&gt;0,C68*'4-AdditionalInputs'!$C$41,0))</f>
        <v>0</v>
      </c>
      <c r="E69" s="457">
        <f>IF(E68&gt;0,IF(D68&lt;0,(E67-ABS(D68))*'4-AdditionalInputs'!$C$41,E67*'4-AdditionalInputs'!$C$41),IF(D68&gt;0,D68*'4-AdditionalInputs'!$C$41,0))</f>
        <v>0</v>
      </c>
      <c r="F69" s="457">
        <f>IF(F68&gt;0,IF(E68&lt;0,(F67-ABS(E68))*'4-AdditionalInputs'!$C$41,F67*'4-AdditionalInputs'!$C$41),IF(E68&gt;0,E68*'4-AdditionalInputs'!$C$41,0))</f>
        <v>0</v>
      </c>
      <c r="G69" s="457">
        <f>IF(G68&gt;0,IF(F68&lt;0,(G67-ABS(F68))*'4-AdditionalInputs'!$C$41,G67*'4-AdditionalInputs'!$C$41),IF(F68&gt;0,F68*'4-AdditionalInputs'!$C$41,0))</f>
        <v>0</v>
      </c>
      <c r="H69" s="457">
        <f>IF(H68&gt;0,IF(G68&lt;0,(H67-ABS(G68))*'4-AdditionalInputs'!$C$41,H67*'4-AdditionalInputs'!$C$41),IF(G68&gt;0,G68*'4-AdditionalInputs'!$C$41,0))</f>
        <v>0</v>
      </c>
      <c r="I69" s="457">
        <f>IF(I68&gt;0,IF(H68&lt;0,(I67-ABS(H68))*'4-AdditionalInputs'!$C$41,I67*'4-AdditionalInputs'!$C$41),IF(H68&gt;0,H68*'4-AdditionalInputs'!$C$41,0))</f>
        <v>0</v>
      </c>
      <c r="J69" s="457">
        <f>IF(J68&gt;0,IF(I68&lt;0,(J67-ABS(I68))*'4-AdditionalInputs'!$C$41,J67*'4-AdditionalInputs'!$C$41),IF(I68&gt;0,I68*'4-AdditionalInputs'!$C$41,0))</f>
        <v>0</v>
      </c>
      <c r="K69" s="457">
        <f>IF(K68&gt;0,IF(J68&lt;0,(K67-ABS(J68))*'4-AdditionalInputs'!$C$41,K67*'4-AdditionalInputs'!$C$41),IF(J68&gt;0,J68*'4-AdditionalInputs'!$C$41,0))</f>
        <v>0</v>
      </c>
      <c r="L69" s="457">
        <f>IF(L68&gt;0,IF(K68&lt;0,(L67-ABS(K68))*'4-AdditionalInputs'!$C$41,L67*'4-AdditionalInputs'!$C$41),IF(K68&gt;0,K68*'4-AdditionalInputs'!$C$41,0))</f>
        <v>0</v>
      </c>
      <c r="M69" s="457">
        <f>IF(M68&gt;0,IF(L68&lt;0,(M67-ABS(L68))*'4-AdditionalInputs'!$C$41,M67*'4-AdditionalInputs'!$C$41),IF(L68&gt;0,L68*'4-AdditionalInputs'!$C$41,0))</f>
        <v>0</v>
      </c>
      <c r="N69" s="457">
        <f>IF(N68&gt;0,IF(M68&lt;0,(N67-ABS(M68))*'4-AdditionalInputs'!$C$41,N67*'4-AdditionalInputs'!$C$41),IF(M68&gt;0,M68*'4-AdditionalInputs'!$C$41,0))</f>
        <v>0</v>
      </c>
      <c r="O69" s="447">
        <f t="shared" si="3"/>
        <v>0</v>
      </c>
      <c r="P69" s="444"/>
      <c r="Q69" s="5"/>
      <c r="R69" s="5"/>
      <c r="S69" s="5"/>
    </row>
    <row r="70" spans="1:23" x14ac:dyDescent="0.15">
      <c r="A70" s="444"/>
      <c r="B70" s="444"/>
      <c r="C70" s="458"/>
      <c r="D70" s="458"/>
      <c r="E70" s="458"/>
      <c r="F70" s="458"/>
      <c r="G70" s="458"/>
      <c r="H70" s="458"/>
      <c r="I70" s="458"/>
      <c r="J70" s="458"/>
      <c r="K70" s="458"/>
      <c r="L70" s="458"/>
      <c r="M70" s="458"/>
      <c r="N70" s="458"/>
      <c r="O70" s="458"/>
      <c r="P70" s="444"/>
      <c r="Q70" s="5"/>
      <c r="R70" s="5"/>
      <c r="S70" s="5"/>
    </row>
    <row r="71" spans="1:23" x14ac:dyDescent="0.15">
      <c r="A71" s="444"/>
      <c r="B71" s="444"/>
      <c r="C71" s="458"/>
      <c r="D71" s="458"/>
      <c r="E71" s="458"/>
      <c r="F71" s="458"/>
      <c r="G71" s="458"/>
      <c r="H71" s="458"/>
      <c r="I71" s="458"/>
      <c r="J71" s="458"/>
      <c r="K71" s="458"/>
      <c r="L71" s="458"/>
      <c r="M71" s="458"/>
      <c r="N71" s="458"/>
      <c r="O71" s="458"/>
      <c r="P71" s="444"/>
      <c r="Q71" s="5"/>
      <c r="R71" s="5"/>
      <c r="S71" s="5"/>
    </row>
    <row r="72" spans="1:23" x14ac:dyDescent="0.15">
      <c r="A72" s="444"/>
      <c r="B72" s="444"/>
      <c r="C72" s="458"/>
      <c r="D72" s="458"/>
      <c r="E72" s="458"/>
      <c r="F72" s="458"/>
      <c r="G72" s="458"/>
      <c r="H72" s="458"/>
      <c r="I72" s="458"/>
      <c r="J72" s="458"/>
      <c r="K72" s="458"/>
      <c r="L72" s="458"/>
      <c r="M72" s="458"/>
      <c r="N72" s="458"/>
      <c r="O72" s="458"/>
      <c r="P72" s="444"/>
      <c r="Q72" s="5"/>
      <c r="R72" s="5"/>
      <c r="S72" s="5"/>
    </row>
    <row r="73" spans="1:23" x14ac:dyDescent="0.15">
      <c r="A73" s="5"/>
      <c r="B73" s="444"/>
      <c r="C73" s="458"/>
      <c r="D73" s="459"/>
      <c r="E73" s="458"/>
      <c r="F73" s="458"/>
      <c r="G73" s="458"/>
      <c r="H73" s="458"/>
      <c r="I73" s="458"/>
      <c r="J73" s="458"/>
      <c r="K73" s="458"/>
      <c r="L73" s="458"/>
      <c r="M73" s="458"/>
      <c r="N73" s="458"/>
      <c r="O73" s="458"/>
      <c r="P73" s="444"/>
      <c r="Q73" s="5"/>
      <c r="R73" s="5"/>
      <c r="S73" s="5"/>
      <c r="T73" s="5"/>
      <c r="U73" s="5"/>
      <c r="V73" s="5"/>
      <c r="W73" s="5"/>
    </row>
    <row r="74" spans="1:23" x14ac:dyDescent="0.15">
      <c r="A74" s="5"/>
      <c r="B74" s="9"/>
      <c r="C74" s="9"/>
      <c r="D74" s="283"/>
      <c r="E74" s="9"/>
      <c r="F74" s="284"/>
      <c r="G74" s="9"/>
      <c r="H74" s="283"/>
      <c r="I74" s="9"/>
      <c r="J74" s="9"/>
      <c r="K74" s="9"/>
      <c r="L74" s="9"/>
      <c r="M74" s="9"/>
      <c r="N74" s="9"/>
      <c r="O74" s="9"/>
      <c r="P74" s="5"/>
      <c r="Q74" s="5"/>
      <c r="R74" s="5"/>
      <c r="S74" s="5"/>
      <c r="T74" s="5"/>
      <c r="U74" s="5"/>
      <c r="V74" s="5"/>
      <c r="W74" s="5"/>
    </row>
    <row r="75" spans="1:23" x14ac:dyDescent="0.15">
      <c r="A75" s="5"/>
      <c r="B75" s="5"/>
      <c r="C75" s="285"/>
      <c r="D75" s="285"/>
      <c r="E75" s="285"/>
      <c r="F75" s="285"/>
      <c r="G75" s="285"/>
      <c r="H75" s="285"/>
      <c r="I75" s="285"/>
      <c r="J75" s="285"/>
      <c r="K75" s="285"/>
      <c r="L75" s="285"/>
      <c r="M75" s="285"/>
      <c r="N75" s="285"/>
      <c r="O75" s="285"/>
      <c r="P75" s="5"/>
      <c r="Q75" s="5"/>
      <c r="R75" s="5"/>
      <c r="S75" s="5"/>
      <c r="T75" s="5"/>
      <c r="U75" s="5"/>
      <c r="V75" s="5"/>
      <c r="W75" s="5"/>
    </row>
    <row r="76" spans="1:23" x14ac:dyDescent="0.15">
      <c r="A76" s="5"/>
      <c r="B76" s="5"/>
      <c r="C76" s="261"/>
      <c r="D76" s="261"/>
      <c r="E76" s="261"/>
      <c r="F76" s="261"/>
      <c r="G76" s="261"/>
      <c r="H76" s="261"/>
      <c r="I76" s="261"/>
      <c r="J76" s="261"/>
      <c r="K76" s="261"/>
      <c r="L76" s="261"/>
      <c r="M76" s="261"/>
      <c r="N76" s="261"/>
      <c r="O76" s="261"/>
      <c r="P76" s="5"/>
      <c r="Q76" s="5"/>
      <c r="R76" s="5"/>
      <c r="S76" s="5"/>
      <c r="T76" s="5"/>
      <c r="U76" s="5"/>
      <c r="V76" s="5"/>
      <c r="W76" s="5"/>
    </row>
    <row r="77" spans="1:23" x14ac:dyDescent="0.15">
      <c r="A77" s="5"/>
      <c r="B77" s="5"/>
      <c r="C77" s="261"/>
      <c r="D77" s="261"/>
      <c r="E77" s="261"/>
      <c r="F77" s="261"/>
      <c r="G77" s="261"/>
      <c r="H77" s="261"/>
      <c r="I77" s="261"/>
      <c r="J77" s="261"/>
      <c r="K77" s="261"/>
      <c r="L77" s="261"/>
      <c r="M77" s="261"/>
      <c r="N77" s="261"/>
      <c r="O77" s="261"/>
      <c r="P77" s="5"/>
      <c r="Q77" s="5"/>
      <c r="R77" s="5"/>
      <c r="S77" s="5"/>
      <c r="T77" s="5"/>
      <c r="U77" s="5"/>
      <c r="V77" s="5"/>
      <c r="W77" s="5"/>
    </row>
    <row r="78" spans="1:23" x14ac:dyDescent="0.15">
      <c r="A78" s="5"/>
      <c r="B78" s="5"/>
      <c r="C78" s="261"/>
      <c r="D78" s="261"/>
      <c r="E78" s="261"/>
      <c r="F78" s="261"/>
      <c r="G78" s="261"/>
      <c r="H78" s="261"/>
      <c r="I78" s="261"/>
      <c r="J78" s="261"/>
      <c r="K78" s="261"/>
      <c r="L78" s="261"/>
      <c r="M78" s="261"/>
      <c r="N78" s="261"/>
      <c r="O78" s="261"/>
      <c r="P78" s="5"/>
      <c r="Q78" s="5"/>
      <c r="R78" s="5"/>
      <c r="S78" s="5"/>
      <c r="T78" s="5"/>
      <c r="U78" s="5"/>
      <c r="V78" s="5"/>
      <c r="W78" s="5"/>
    </row>
    <row r="79" spans="1:23" x14ac:dyDescent="0.15">
      <c r="A79" s="5"/>
      <c r="B79" s="5"/>
      <c r="C79" s="261"/>
      <c r="D79" s="312"/>
      <c r="E79" s="261"/>
      <c r="F79" s="261"/>
      <c r="G79" s="261"/>
      <c r="H79" s="261"/>
      <c r="I79" s="261"/>
      <c r="J79" s="261"/>
      <c r="K79" s="261"/>
      <c r="L79" s="261"/>
      <c r="M79" s="261"/>
      <c r="N79" s="261"/>
      <c r="O79" s="261"/>
      <c r="P79" s="5"/>
      <c r="Q79" s="5"/>
      <c r="R79" s="5"/>
      <c r="S79" s="5"/>
      <c r="T79" s="5"/>
      <c r="U79" s="5"/>
      <c r="V79" s="5"/>
      <c r="W79" s="5"/>
    </row>
    <row r="80" spans="1:23" x14ac:dyDescent="0.15">
      <c r="A80" s="5"/>
      <c r="B80" s="5"/>
      <c r="C80" s="5"/>
      <c r="D80" s="286"/>
      <c r="E80" s="5"/>
      <c r="F80" s="287"/>
      <c r="G80" s="5"/>
      <c r="H80" s="286"/>
      <c r="I80" s="5"/>
      <c r="J80" s="5"/>
      <c r="K80" s="5"/>
      <c r="L80" s="5"/>
      <c r="M80" s="5"/>
      <c r="N80" s="5"/>
      <c r="O80" s="5"/>
      <c r="P80" s="5"/>
      <c r="Q80" s="5"/>
      <c r="R80" s="5"/>
      <c r="S80" s="5"/>
      <c r="T80" s="5"/>
      <c r="U80" s="5"/>
      <c r="V80" s="5"/>
      <c r="W80" s="5"/>
    </row>
    <row r="81" spans="1:23" x14ac:dyDescent="0.15">
      <c r="A81" s="5"/>
      <c r="B81" s="5"/>
      <c r="C81" s="5"/>
      <c r="D81" s="286"/>
      <c r="E81" s="5"/>
      <c r="F81" s="287"/>
      <c r="G81" s="5"/>
      <c r="H81" s="286"/>
      <c r="I81" s="5"/>
      <c r="J81" s="5"/>
      <c r="K81" s="5"/>
      <c r="L81" s="5"/>
      <c r="M81" s="5"/>
      <c r="N81" s="5"/>
      <c r="O81" s="5"/>
      <c r="P81" s="5"/>
      <c r="Q81" s="5"/>
      <c r="R81" s="5"/>
      <c r="S81" s="5"/>
      <c r="T81" s="5"/>
      <c r="U81" s="5"/>
      <c r="V81" s="5"/>
      <c r="W81" s="5"/>
    </row>
    <row r="82" spans="1:23" x14ac:dyDescent="0.15">
      <c r="A82" s="5"/>
      <c r="B82" s="5"/>
      <c r="C82" s="5"/>
      <c r="D82" s="286"/>
      <c r="E82" s="5"/>
      <c r="F82" s="287"/>
      <c r="G82" s="5"/>
      <c r="H82" s="286"/>
      <c r="I82" s="5"/>
      <c r="J82" s="5"/>
      <c r="K82" s="5"/>
      <c r="L82" s="5"/>
      <c r="M82" s="5"/>
      <c r="N82" s="5"/>
      <c r="O82" s="5"/>
      <c r="P82" s="5"/>
      <c r="Q82" s="5"/>
      <c r="R82" s="5"/>
      <c r="S82" s="5"/>
    </row>
  </sheetData>
  <sheetProtection algorithmName="SHA-512" hashValue="+GEpJwFyMGaNy6pthjA/QCYrikSGRBLDD7o7V4L0vs2s38KviG98XI7qvcXTrE8ujC5qURbadCBwuDglSNwQNw==" saltValue="PHEQKbbkBq/9isVTiYgQ+w==" spinCount="100000" sheet="1" objects="1" scenarios="1" formatColumns="0" formatRows="0"/>
  <mergeCells count="2">
    <mergeCell ref="B2:C2"/>
    <mergeCell ref="I2:K3"/>
  </mergeCells>
  <phoneticPr fontId="3" type="noConversion"/>
  <conditionalFormatting sqref="C17:C21">
    <cfRule type="expression" dxfId="21" priority="5" stopIfTrue="1">
      <formula>ISERROR(C17)</formula>
    </cfRule>
  </conditionalFormatting>
  <conditionalFormatting sqref="C58 E58 G58">
    <cfRule type="containsBlanks" dxfId="20" priority="20">
      <formula>LEN(TRIM(C58))=0</formula>
    </cfRule>
  </conditionalFormatting>
  <conditionalFormatting sqref="C9:D9 F9 H9 C10:C13 C14:H15 C25:H42">
    <cfRule type="expression" dxfId="19" priority="30" stopIfTrue="1">
      <formula>ISERROR(C9)</formula>
    </cfRule>
  </conditionalFormatting>
  <conditionalFormatting sqref="E9:E13">
    <cfRule type="expression" dxfId="18" priority="4" stopIfTrue="1">
      <formula>ISERROR(E9)</formula>
    </cfRule>
  </conditionalFormatting>
  <conditionalFormatting sqref="E17:E21">
    <cfRule type="expression" dxfId="17" priority="2" stopIfTrue="1">
      <formula>ISERROR(E17)</formula>
    </cfRule>
  </conditionalFormatting>
  <conditionalFormatting sqref="G9:G13">
    <cfRule type="expression" dxfId="16" priority="3" stopIfTrue="1">
      <formula>ISERROR(G9)</formula>
    </cfRule>
  </conditionalFormatting>
  <conditionalFormatting sqref="G17:G21">
    <cfRule type="expression" dxfId="15" priority="1" stopIfTrue="1">
      <formula>ISERROR(G17)</formula>
    </cfRule>
  </conditionalFormatting>
  <printOptions horizontalCentered="1" verticalCentered="1"/>
  <pageMargins left="0.7" right="0.7" top="0.75" bottom="0.75" header="0.3" footer="0.3"/>
  <pageSetup scale="58" orientation="landscape" r:id="rId1"/>
  <headerFooter scaleWithDoc="0">
    <oddHeader>&amp;C&amp;"Gill Sans MT,Regular"&amp;12Income Statement Years 1-3</oddHeader>
    <oddFooter>&amp;L&amp;"Gill Sans MT,Regular"&amp;12&amp;F&amp;C&amp;"Gill Sans MT,Regular"&amp;12&amp;A&amp;R&amp;"Gill Sans MT,Regular"&amp;12&amp;D &amp;T</oddFooter>
  </headerFooter>
  <ignoredErrors>
    <ignoredError sqref="D22:G22 D43:D44 D56:F56 G43 E43 F23:F24 D23:E23" formula="1"/>
  </ignoredErrors>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FFC95B"/>
    <pageSetUpPr fitToPage="1"/>
  </sheetPr>
  <dimension ref="C2:H46"/>
  <sheetViews>
    <sheetView topLeftCell="A11" zoomScale="213" zoomScaleNormal="100" zoomScalePageLayoutView="60" workbookViewId="0">
      <selection activeCell="E10" sqref="E10"/>
    </sheetView>
  </sheetViews>
  <sheetFormatPr baseColWidth="10" defaultColWidth="8.83203125" defaultRowHeight="12" x14ac:dyDescent="0.15"/>
  <cols>
    <col min="1" max="2" width="3.83203125" style="46" customWidth="1"/>
    <col min="3" max="3" width="41.6640625" style="46" bestFit="1" customWidth="1"/>
    <col min="4" max="4" width="15" style="46" bestFit="1" customWidth="1"/>
    <col min="5" max="6" width="16.6640625" style="46" bestFit="1" customWidth="1"/>
    <col min="7" max="16384" width="8.83203125" style="46"/>
  </cols>
  <sheetData>
    <row r="2" spans="3:6" x14ac:dyDescent="0.15">
      <c r="C2" s="58" t="s">
        <v>334</v>
      </c>
      <c r="D2" s="56"/>
      <c r="F2" s="148"/>
    </row>
    <row r="3" spans="3:6" x14ac:dyDescent="0.15">
      <c r="C3" s="56"/>
      <c r="D3" s="56"/>
      <c r="F3" s="148"/>
    </row>
    <row r="4" spans="3:6" ht="17.25" customHeight="1" x14ac:dyDescent="0.15">
      <c r="C4" s="58" t="s">
        <v>130</v>
      </c>
      <c r="D4" s="58" t="s">
        <v>131</v>
      </c>
      <c r="F4" s="148"/>
    </row>
    <row r="5" spans="3:6" x14ac:dyDescent="0.15">
      <c r="C5" s="19" t="str">
        <f>IF(ISBLANK(Directions!C10), "Owner", Directions!C10)</f>
        <v>Dave Johnson</v>
      </c>
      <c r="D5" s="19" t="str">
        <f>IF(ISBLANK(Directions!D10), "Company 1", Directions!D10)</f>
        <v>Dave's Famous Pretzels</v>
      </c>
      <c r="F5" s="148"/>
    </row>
    <row r="6" spans="3:6" x14ac:dyDescent="0.15">
      <c r="F6" s="148"/>
    </row>
    <row r="7" spans="3:6" ht="14" thickBot="1" x14ac:dyDescent="0.2">
      <c r="C7" s="344" t="s">
        <v>9</v>
      </c>
      <c r="D7" s="345">
        <f>IF(Directions!F10&gt;0,Directions!F10,"First Year")</f>
        <v>2026</v>
      </c>
      <c r="E7" s="345">
        <f>IF(Directions!F10&gt;0,Directions!F10+1,"Second Year")</f>
        <v>2027</v>
      </c>
      <c r="F7" s="345">
        <f>IF(Directions!F10&gt;0,Directions!F10+2,"Third Year")</f>
        <v>2028</v>
      </c>
    </row>
    <row r="8" spans="3:6" ht="13" thickTop="1" x14ac:dyDescent="0.15">
      <c r="C8" s="322" t="s">
        <v>271</v>
      </c>
      <c r="D8" s="372"/>
      <c r="E8" s="372"/>
      <c r="F8" s="372"/>
    </row>
    <row r="9" spans="3:6" x14ac:dyDescent="0.15">
      <c r="C9" s="184" t="s">
        <v>170</v>
      </c>
      <c r="D9" s="186">
        <f>Y1EndingCashBal</f>
        <v>21782.629816412868</v>
      </c>
      <c r="E9" s="186">
        <f>'6b-CashFlowYrs1-3'!N32</f>
        <v>76324.950583831145</v>
      </c>
      <c r="F9" s="186">
        <f>'6b-CashFlowYrs1-3'!AA32</f>
        <v>163435.85677460974</v>
      </c>
    </row>
    <row r="10" spans="3:6" x14ac:dyDescent="0.15">
      <c r="C10" s="184" t="s">
        <v>284</v>
      </c>
      <c r="D10" s="186">
        <f>+'7a-IncomeStatementYear1'!O15-'6a-CashFlowYear1'!O12-'7a-IncomeStatementYear1'!O56</f>
        <v>0</v>
      </c>
      <c r="E10" s="186">
        <f>+D10+'7b-IncomeStatementYrs1-3'!E14-'6b-CashFlowYrs1-3'!O11-'7b-IncomeStatementYrs1-3'!E55</f>
        <v>-2.9103830456733704E-11</v>
      </c>
      <c r="F10" s="186">
        <f>+E10+'7b-IncomeStatementYrs1-3'!G14-'6b-CashFlowYrs1-3'!AB11-'7b-IncomeStatementYrs1-3'!G55</f>
        <v>0</v>
      </c>
    </row>
    <row r="11" spans="3:6" x14ac:dyDescent="0.15">
      <c r="C11" s="184" t="s">
        <v>4</v>
      </c>
      <c r="D11" s="186">
        <f>+Inventory+'6a-CashFlowYear1'!O17</f>
        <v>0</v>
      </c>
      <c r="E11" s="186">
        <f>+D11+'6b-CashFlowYrs1-3'!O16</f>
        <v>0</v>
      </c>
      <c r="F11" s="186">
        <f>+E11+'6b-CashFlowYrs1-3'!AB16</f>
        <v>0</v>
      </c>
    </row>
    <row r="12" spans="3:6" x14ac:dyDescent="0.15">
      <c r="C12" s="184" t="s">
        <v>264</v>
      </c>
      <c r="D12" s="186">
        <f>+'Amortization&amp;Depreciation'!C132-'Amortization&amp;Depreciation'!C133</f>
        <v>6000</v>
      </c>
      <c r="E12" s="186">
        <f>+D12-'Amortization&amp;Depreciation'!C133</f>
        <v>3000</v>
      </c>
      <c r="F12" s="186">
        <f>+E12-'Amortization&amp;Depreciation'!C133</f>
        <v>0</v>
      </c>
    </row>
    <row r="13" spans="3:6" x14ac:dyDescent="0.15">
      <c r="C13" s="184" t="s">
        <v>288</v>
      </c>
      <c r="D13" s="186">
        <f>+OtherStartUp-'Amortization&amp;Depreciation'!C135</f>
        <v>0</v>
      </c>
      <c r="E13" s="186">
        <f>+D13-'Amortization&amp;Depreciation'!C135</f>
        <v>0</v>
      </c>
      <c r="F13" s="186">
        <f>+E13-'Amortization&amp;Depreciation'!C135</f>
        <v>0</v>
      </c>
    </row>
    <row r="14" spans="3:6" x14ac:dyDescent="0.15">
      <c r="C14" s="149" t="s">
        <v>126</v>
      </c>
      <c r="D14" s="191">
        <f>SUM(D9:D13)</f>
        <v>27782.629816412868</v>
      </c>
      <c r="E14" s="191">
        <f>SUM(E9:E13)</f>
        <v>79324.950583831116</v>
      </c>
      <c r="F14" s="191">
        <f>SUM(F9:F13)</f>
        <v>163435.85677460974</v>
      </c>
    </row>
    <row r="15" spans="3:6" x14ac:dyDescent="0.15">
      <c r="C15" s="195"/>
      <c r="D15" s="218"/>
      <c r="E15" s="218"/>
      <c r="F15" s="218"/>
    </row>
    <row r="16" spans="3:6" x14ac:dyDescent="0.15">
      <c r="C16" s="195" t="s">
        <v>33</v>
      </c>
      <c r="D16" s="226"/>
      <c r="E16" s="226"/>
      <c r="F16" s="226"/>
    </row>
    <row r="17" spans="3:8" x14ac:dyDescent="0.15">
      <c r="C17" s="227" t="s">
        <v>270</v>
      </c>
      <c r="D17" s="186">
        <f t="shared" ref="D17:F17" si="0">Land</f>
        <v>0</v>
      </c>
      <c r="E17" s="186">
        <f t="shared" si="0"/>
        <v>0</v>
      </c>
      <c r="F17" s="186">
        <f t="shared" si="0"/>
        <v>0</v>
      </c>
    </row>
    <row r="18" spans="3:8" x14ac:dyDescent="0.15">
      <c r="C18" s="227" t="s">
        <v>350</v>
      </c>
      <c r="D18" s="186">
        <f>+'4-AdditionalInputs'!P29</f>
        <v>0</v>
      </c>
      <c r="E18" s="186">
        <f>+'4-AdditionalInputs'!P29+'4-AdditionalInputs'!Q29</f>
        <v>0</v>
      </c>
      <c r="F18" s="186">
        <f>+'4-AdditionalInputs'!P29+'4-AdditionalInputs'!Q29+'4-AdditionalInputs'!R29</f>
        <v>0</v>
      </c>
    </row>
    <row r="19" spans="3:8" x14ac:dyDescent="0.15">
      <c r="C19" s="227" t="s">
        <v>35</v>
      </c>
      <c r="D19" s="186">
        <f>+'4-AdditionalInputs'!P30</f>
        <v>0</v>
      </c>
      <c r="E19" s="186">
        <f>+'4-AdditionalInputs'!P30+'4-AdditionalInputs'!Q30</f>
        <v>0</v>
      </c>
      <c r="F19" s="186">
        <f>+'4-AdditionalInputs'!P30+'4-AdditionalInputs'!Q30+'4-AdditionalInputs'!R30</f>
        <v>0</v>
      </c>
    </row>
    <row r="20" spans="3:8" x14ac:dyDescent="0.15">
      <c r="C20" s="227" t="s">
        <v>2</v>
      </c>
      <c r="D20" s="186">
        <f>+'4-AdditionalInputs'!P31</f>
        <v>63000</v>
      </c>
      <c r="E20" s="186">
        <f>+'4-AdditionalInputs'!P31+'4-AdditionalInputs'!Q31</f>
        <v>63000</v>
      </c>
      <c r="F20" s="186">
        <f>+'4-AdditionalInputs'!P31+'4-AdditionalInputs'!Q31+'4-AdditionalInputs'!R31</f>
        <v>63000</v>
      </c>
    </row>
    <row r="21" spans="3:8" x14ac:dyDescent="0.15">
      <c r="C21" s="227" t="s">
        <v>36</v>
      </c>
      <c r="D21" s="186">
        <f>+'4-AdditionalInputs'!P32</f>
        <v>0</v>
      </c>
      <c r="E21" s="186">
        <f>+'4-AdditionalInputs'!P32+'4-AdditionalInputs'!Q32</f>
        <v>0</v>
      </c>
      <c r="F21" s="186">
        <f>+'4-AdditionalInputs'!P32+'4-AdditionalInputs'!Q32+'4-AdditionalInputs'!R32</f>
        <v>0</v>
      </c>
    </row>
    <row r="22" spans="3:8" x14ac:dyDescent="0.15">
      <c r="C22" s="227" t="s">
        <v>3</v>
      </c>
      <c r="D22" s="186">
        <f>+'4-AdditionalInputs'!P33</f>
        <v>120000</v>
      </c>
      <c r="E22" s="186">
        <f>+'4-AdditionalInputs'!P33+'4-AdditionalInputs'!Q33</f>
        <v>120000</v>
      </c>
      <c r="F22" s="186">
        <f>+'4-AdditionalInputs'!P33+'4-AdditionalInputs'!Q33+'4-AdditionalInputs'!R33</f>
        <v>120000</v>
      </c>
    </row>
    <row r="23" spans="3:8" x14ac:dyDescent="0.15">
      <c r="C23" s="227" t="s">
        <v>272</v>
      </c>
      <c r="D23" s="186">
        <f>+'4-AdditionalInputs'!P34</f>
        <v>0</v>
      </c>
      <c r="E23" s="186">
        <f>+'4-AdditionalInputs'!P34+'4-AdditionalInputs'!Q34</f>
        <v>0</v>
      </c>
      <c r="F23" s="186">
        <f>+'4-AdditionalInputs'!P34+'4-AdditionalInputs'!Q34+'4-AdditionalInputs'!R34</f>
        <v>0</v>
      </c>
    </row>
    <row r="24" spans="3:8" x14ac:dyDescent="0.15">
      <c r="C24" s="106" t="s">
        <v>38</v>
      </c>
      <c r="D24" s="191">
        <f>SUM(D17:D23)</f>
        <v>183000</v>
      </c>
      <c r="E24" s="191">
        <f t="shared" ref="E24:F24" si="1">SUM(E17:E23)</f>
        <v>183000</v>
      </c>
      <c r="F24" s="191">
        <f t="shared" si="1"/>
        <v>183000</v>
      </c>
    </row>
    <row r="25" spans="3:8" x14ac:dyDescent="0.15">
      <c r="C25" s="195" t="s">
        <v>297</v>
      </c>
      <c r="D25" s="53">
        <f>'Amortization&amp;Depreciation'!O119</f>
        <v>33000</v>
      </c>
      <c r="E25" s="53">
        <f>+D25+'Amortization&amp;Depreciation'!O123</f>
        <v>66000</v>
      </c>
      <c r="F25" s="53">
        <f>E25+'Amortization&amp;Depreciation'!O127</f>
        <v>99000</v>
      </c>
    </row>
    <row r="26" spans="3:8" x14ac:dyDescent="0.15">
      <c r="C26" s="87" t="s">
        <v>10</v>
      </c>
      <c r="D26" s="53">
        <f>INT(D24+D14-D25)</f>
        <v>177782</v>
      </c>
      <c r="E26" s="53">
        <f t="shared" ref="E26:F26" si="2">INT(E24+E14-E25)</f>
        <v>196324</v>
      </c>
      <c r="F26" s="53">
        <f t="shared" si="2"/>
        <v>247435</v>
      </c>
    </row>
    <row r="27" spans="3:8" x14ac:dyDescent="0.15">
      <c r="C27" s="195"/>
      <c r="D27" s="218"/>
      <c r="E27" s="218"/>
      <c r="F27" s="218"/>
    </row>
    <row r="28" spans="3:8" ht="14" thickBot="1" x14ac:dyDescent="0.2">
      <c r="C28" s="344" t="s">
        <v>269</v>
      </c>
      <c r="D28" s="344"/>
      <c r="E28" s="344"/>
      <c r="F28" s="344"/>
    </row>
    <row r="29" spans="3:8" ht="13" thickTop="1" x14ac:dyDescent="0.15">
      <c r="C29" s="373" t="s">
        <v>139</v>
      </c>
      <c r="D29" s="374"/>
      <c r="E29" s="374"/>
      <c r="F29" s="374"/>
    </row>
    <row r="30" spans="3:8" x14ac:dyDescent="0.15">
      <c r="C30" s="227" t="s">
        <v>275</v>
      </c>
      <c r="D30" s="186">
        <f>+'7a-IncomeStatementYear1'!O23-'6a-CashFlowYear1'!O18</f>
        <v>0</v>
      </c>
      <c r="E30" s="186">
        <f>+D30+'7b-IncomeStatementYrs1-3'!E22-'6b-CashFlowYrs1-3'!O17</f>
        <v>0</v>
      </c>
      <c r="F30" s="186">
        <f>+E30+'7b-IncomeStatementYrs1-3'!G22-'6b-CashFlowYrs1-3'!AB17</f>
        <v>0</v>
      </c>
    </row>
    <row r="31" spans="3:8" x14ac:dyDescent="0.15">
      <c r="C31" s="227" t="s">
        <v>292</v>
      </c>
      <c r="D31" s="186">
        <f>+'Amortization&amp;Depreciation'!N17</f>
        <v>101456.89933579894</v>
      </c>
      <c r="E31" s="186">
        <f>+'Amortization&amp;Depreciation'!N21</f>
        <v>88641.709149490212</v>
      </c>
      <c r="F31" s="186">
        <f>+'Amortization&amp;Depreciation'!N25</f>
        <v>74414.240786453913</v>
      </c>
      <c r="G31" s="228"/>
      <c r="H31" s="228"/>
    </row>
    <row r="32" spans="3:8" x14ac:dyDescent="0.15">
      <c r="C32" s="227" t="s">
        <v>293</v>
      </c>
      <c r="D32" s="229">
        <f>+'Amortization&amp;Depreciation'!N37</f>
        <v>0</v>
      </c>
      <c r="E32" s="229">
        <f>+'Amortization&amp;Depreciation'!N41</f>
        <v>0</v>
      </c>
      <c r="F32" s="229">
        <f>+'Amortization&amp;Depreciation'!N45</f>
        <v>0</v>
      </c>
      <c r="G32" s="228"/>
      <c r="H32" s="228"/>
    </row>
    <row r="33" spans="3:8" x14ac:dyDescent="0.15">
      <c r="C33" s="227" t="s">
        <v>294</v>
      </c>
      <c r="D33" s="229">
        <f>+'Amortization&amp;Depreciation'!N57</f>
        <v>0</v>
      </c>
      <c r="E33" s="229">
        <f>+'Amortization&amp;Depreciation'!N61</f>
        <v>0</v>
      </c>
      <c r="F33" s="229">
        <f>+'Amortization&amp;Depreciation'!N65</f>
        <v>0</v>
      </c>
      <c r="G33" s="228"/>
      <c r="H33" s="228"/>
    </row>
    <row r="34" spans="3:8" x14ac:dyDescent="0.15">
      <c r="C34" s="227" t="s">
        <v>295</v>
      </c>
      <c r="D34" s="229">
        <f>+'Amortization&amp;Depreciation'!N77</f>
        <v>65144.872926866534</v>
      </c>
      <c r="E34" s="229">
        <f>+'Amortization&amp;Depreciation'!N81</f>
        <v>44926.707193061644</v>
      </c>
      <c r="F34" s="229">
        <f>+'Amortization&amp;Depreciation'!N85</f>
        <v>23246.968623595225</v>
      </c>
      <c r="G34" s="228"/>
      <c r="H34" s="228"/>
    </row>
    <row r="35" spans="3:8" x14ac:dyDescent="0.15">
      <c r="C35" s="227" t="s">
        <v>296</v>
      </c>
      <c r="D35" s="229">
        <f>+'Amortization&amp;Depreciation'!N97</f>
        <v>0</v>
      </c>
      <c r="E35" s="229">
        <f>+'Amortization&amp;Depreciation'!N101</f>
        <v>0</v>
      </c>
      <c r="F35" s="229">
        <f>+'Amortization&amp;Depreciation'!N105</f>
        <v>0</v>
      </c>
      <c r="G35" s="228"/>
      <c r="H35" s="228"/>
    </row>
    <row r="36" spans="3:8" x14ac:dyDescent="0.15">
      <c r="C36" s="227" t="s">
        <v>199</v>
      </c>
      <c r="D36" s="229">
        <f>+'6a-CashFlowYear1'!N34</f>
        <v>0</v>
      </c>
      <c r="E36" s="229">
        <f>+'6b-CashFlowYrs1-3'!N33</f>
        <v>0</v>
      </c>
      <c r="F36" s="229">
        <f>+'6b-CashFlowYrs1-3'!AA33</f>
        <v>0</v>
      </c>
      <c r="G36" s="228"/>
      <c r="H36" s="228"/>
    </row>
    <row r="37" spans="3:8" x14ac:dyDescent="0.15">
      <c r="C37" s="106" t="s">
        <v>175</v>
      </c>
      <c r="D37" s="230">
        <f>SUM(D30:D36)</f>
        <v>166601.77226266547</v>
      </c>
      <c r="E37" s="230">
        <f>SUM(E30:E36)</f>
        <v>133568.41634255185</v>
      </c>
      <c r="F37" s="230">
        <f>SUM(F30:F36)</f>
        <v>97661.209410049138</v>
      </c>
    </row>
    <row r="38" spans="3:8" x14ac:dyDescent="0.15">
      <c r="C38" s="195" t="s">
        <v>266</v>
      </c>
      <c r="D38" s="226"/>
      <c r="E38" s="226"/>
      <c r="F38" s="226"/>
    </row>
    <row r="39" spans="3:8" x14ac:dyDescent="0.15">
      <c r="C39" s="227" t="s">
        <v>267</v>
      </c>
      <c r="D39" s="186">
        <f>OwnerEquity+OutsideInvest</f>
        <v>0</v>
      </c>
      <c r="E39" s="186">
        <f>OwnerEquity+OutsideInvest</f>
        <v>0</v>
      </c>
      <c r="F39" s="186">
        <f>OwnerEquity+OutsideInvest</f>
        <v>0</v>
      </c>
    </row>
    <row r="40" spans="3:8" x14ac:dyDescent="0.15">
      <c r="C40" s="227" t="s">
        <v>268</v>
      </c>
      <c r="D40" s="186">
        <f>'7b-IncomeStatementYrs1-3'!C59</f>
        <v>11180.857553747381</v>
      </c>
      <c r="E40" s="186">
        <f>D40+NetIncomeY2</f>
        <v>62756.534241279296</v>
      </c>
      <c r="F40" s="186">
        <f>E40+NetIncomeY3</f>
        <v>149774.64736456066</v>
      </c>
    </row>
    <row r="41" spans="3:8" x14ac:dyDescent="0.15">
      <c r="C41" s="227" t="s">
        <v>300</v>
      </c>
      <c r="D41" s="186">
        <f>'6a-CashFlowYear1'!O28+'6a-CashFlowYear1'!O25</f>
        <v>0</v>
      </c>
      <c r="E41" s="186">
        <f>+D41+'6b-CashFlowYrs1-3'!O27+'6b-CashFlowYrs1-3'!O24</f>
        <v>0</v>
      </c>
      <c r="F41" s="186">
        <f>+E41+'6b-CashFlowYrs1-3'!AB27+'6b-CashFlowYrs1-3'!AB24</f>
        <v>0</v>
      </c>
    </row>
    <row r="42" spans="3:8" x14ac:dyDescent="0.15">
      <c r="C42" s="106" t="s">
        <v>195</v>
      </c>
      <c r="D42" s="191">
        <f>+D39+D40-D41</f>
        <v>11180.857553747381</v>
      </c>
      <c r="E42" s="191">
        <f t="shared" ref="E42:F42" si="3">+E39+E40-E41</f>
        <v>62756.534241279296</v>
      </c>
      <c r="F42" s="191">
        <f t="shared" si="3"/>
        <v>149774.64736456066</v>
      </c>
    </row>
    <row r="43" spans="3:8" x14ac:dyDescent="0.15">
      <c r="C43" s="47" t="s">
        <v>11</v>
      </c>
      <c r="D43" s="53">
        <f>INT(D37+D42)</f>
        <v>177782</v>
      </c>
      <c r="E43" s="53">
        <f t="shared" ref="E43:F43" si="4">INT(E37+E42)</f>
        <v>196324</v>
      </c>
      <c r="F43" s="53">
        <f t="shared" si="4"/>
        <v>247435</v>
      </c>
    </row>
    <row r="44" spans="3:8" x14ac:dyDescent="0.15">
      <c r="C44" s="7"/>
      <c r="D44" s="231"/>
      <c r="E44" s="231"/>
      <c r="F44" s="231"/>
    </row>
    <row r="45" spans="3:8" x14ac:dyDescent="0.15">
      <c r="C45" s="516" t="s">
        <v>18</v>
      </c>
      <c r="D45" s="53">
        <f>D26-D43</f>
        <v>0</v>
      </c>
      <c r="E45" s="53">
        <f>E26-E43</f>
        <v>0</v>
      </c>
      <c r="F45" s="53">
        <f>F26-F43</f>
        <v>0</v>
      </c>
    </row>
    <row r="46" spans="3:8" x14ac:dyDescent="0.15">
      <c r="C46" s="516"/>
      <c r="D46" s="73" t="str">
        <f>IF(D45=0,"Balanced!", "Warning: Not Balanced")</f>
        <v>Balanced!</v>
      </c>
      <c r="E46" s="73" t="str">
        <f>IF(E45=0,"Balanced!", "Warning: Not Balanced")</f>
        <v>Balanced!</v>
      </c>
      <c r="F46" s="73" t="str">
        <f>IF(F45=0,"Balanced!", "Warning: Not Balanced")</f>
        <v>Balanced!</v>
      </c>
    </row>
  </sheetData>
  <sheetProtection algorithmName="SHA-512" hashValue="k8+/nrYyXAWWNcUXGYNRZbsg6gfp8pFIOYLSsG4vhx3IQpczD94BKe6WGY4K35Zvqr3ThNqLDAVEiDbOazJueg==" saltValue="1if5JhEy2yKLPbiMg+62Lw==" spinCount="100000" sheet="1" objects="1" scenarios="1" formatColumns="0" formatRows="0"/>
  <mergeCells count="1">
    <mergeCell ref="C45:C46"/>
  </mergeCells>
  <phoneticPr fontId="3" type="noConversion"/>
  <conditionalFormatting sqref="D9:F14">
    <cfRule type="expression" dxfId="14" priority="4" stopIfTrue="1">
      <formula>ISERROR(D9)</formula>
    </cfRule>
  </conditionalFormatting>
  <conditionalFormatting sqref="D17:F26">
    <cfRule type="expression" dxfId="13" priority="9" stopIfTrue="1">
      <formula>ISERROR(D17)</formula>
    </cfRule>
  </conditionalFormatting>
  <conditionalFormatting sqref="D30:F31">
    <cfRule type="expression" dxfId="12" priority="3" stopIfTrue="1">
      <formula>ISERROR(D30)</formula>
    </cfRule>
  </conditionalFormatting>
  <conditionalFormatting sqref="D32:F37">
    <cfRule type="cellIs" dxfId="11" priority="33" stopIfTrue="1" operator="equal">
      <formula>#DIV/0!</formula>
    </cfRule>
    <cfRule type="notContainsBlanks" dxfId="10" priority="34" stopIfTrue="1">
      <formula>LEN(TRIM(D32))&gt;0</formula>
    </cfRule>
    <cfRule type="containsBlanks" dxfId="9" priority="35" stopIfTrue="1">
      <formula>LEN(TRIM(D32))=0</formula>
    </cfRule>
  </conditionalFormatting>
  <conditionalFormatting sqref="D43:F43">
    <cfRule type="expression" dxfId="8" priority="14" stopIfTrue="1">
      <formula>ISERROR(D43)</formula>
    </cfRule>
  </conditionalFormatting>
  <conditionalFormatting sqref="D45:F45">
    <cfRule type="expression" dxfId="7" priority="13" stopIfTrue="1">
      <formula>ISERROR(D45)</formula>
    </cfRule>
  </conditionalFormatting>
  <conditionalFormatting sqref="D46:F46">
    <cfRule type="containsText" dxfId="6" priority="1" operator="containsText" text="Warning:">
      <formula>NOT(ISERROR(SEARCH("Warning:",D46)))</formula>
    </cfRule>
  </conditionalFormatting>
  <printOptions horizontalCentered="1" verticalCentered="1"/>
  <pageMargins left="0.25" right="0.25" top="0.75" bottom="0.75" header="0.3" footer="0.3"/>
  <pageSetup scale="81" orientation="landscape" r:id="rId1"/>
  <headerFooter scaleWithDoc="0">
    <oddHeader>&amp;C&amp;"Gill Sans MT,Regular"&amp;12Balance Sheet Years 1-3</oddHeader>
    <oddFooter>&amp;L&amp;"Gill Sans MT,Regular"&amp;12&amp;F&amp;C&amp;"Gill Sans MT,Regular"&amp;12&amp;A&amp;R&amp;"Gill Sans MT,Regular"&amp;12&amp;D &amp;T</oddFooter>
  </headerFooter>
  <rowBreaks count="1" manualBreakCount="1">
    <brk id="43"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tabColor rgb="FF339966"/>
    <pageSetUpPr fitToPage="1"/>
  </sheetPr>
  <dimension ref="A1:K48"/>
  <sheetViews>
    <sheetView zoomScale="250" zoomScaleNormal="100" workbookViewId="0">
      <selection activeCell="C10" sqref="C10"/>
    </sheetView>
  </sheetViews>
  <sheetFormatPr baseColWidth="10" defaultColWidth="9.1640625" defaultRowHeight="12" x14ac:dyDescent="0.15"/>
  <cols>
    <col min="1" max="1" width="9.1640625" style="5"/>
    <col min="2" max="2" width="36.5" style="5" customWidth="1"/>
    <col min="3" max="3" width="17" style="5" bestFit="1" customWidth="1"/>
    <col min="4" max="4" width="14.83203125" style="17" bestFit="1" customWidth="1"/>
    <col min="5" max="16384" width="9.1640625" style="5"/>
  </cols>
  <sheetData>
    <row r="1" spans="2:7" x14ac:dyDescent="0.15">
      <c r="D1" s="18"/>
    </row>
    <row r="2" spans="2:7" x14ac:dyDescent="0.15">
      <c r="B2" s="160" t="s">
        <v>347</v>
      </c>
      <c r="D2" s="18"/>
      <c r="E2" s="270"/>
      <c r="F2" s="270"/>
      <c r="G2" s="270"/>
    </row>
    <row r="3" spans="2:7" x14ac:dyDescent="0.15">
      <c r="B3" s="52"/>
      <c r="D3" s="18"/>
      <c r="E3" s="270"/>
      <c r="F3" s="270"/>
      <c r="G3" s="270"/>
    </row>
    <row r="4" spans="2:7" x14ac:dyDescent="0.15">
      <c r="B4" s="160" t="s">
        <v>130</v>
      </c>
      <c r="C4" s="9" t="s">
        <v>131</v>
      </c>
      <c r="D4" s="18"/>
    </row>
    <row r="5" spans="2:7" x14ac:dyDescent="0.15">
      <c r="B5" s="5" t="str">
        <f>IF(ISBLANK(Directions!C10), "Owner", Directions!C10)</f>
        <v>Dave Johnson</v>
      </c>
      <c r="C5" s="5" t="str">
        <f>IF(ISBLANK(Directions!D10), "Company 1", Directions!D10)</f>
        <v>Dave's Famous Pretzels</v>
      </c>
      <c r="D5" s="5"/>
    </row>
    <row r="6" spans="2:7" x14ac:dyDescent="0.15">
      <c r="D6" s="5"/>
    </row>
    <row r="7" spans="2:7" x14ac:dyDescent="0.15">
      <c r="B7" s="243"/>
      <c r="C7" s="244"/>
      <c r="D7" s="5"/>
    </row>
    <row r="8" spans="2:7" ht="13" thickBot="1" x14ac:dyDescent="0.2">
      <c r="B8" s="506" t="s">
        <v>237</v>
      </c>
      <c r="C8" s="506"/>
      <c r="D8" s="5"/>
    </row>
    <row r="9" spans="2:7" ht="13" thickTop="1" x14ac:dyDescent="0.15">
      <c r="B9" s="367" t="s">
        <v>134</v>
      </c>
      <c r="C9" s="375">
        <f>'7b-IncomeStatementYrs1-3'!C23</f>
        <v>91736.167225817786</v>
      </c>
      <c r="D9" s="5"/>
    </row>
    <row r="10" spans="2:7" x14ac:dyDescent="0.15">
      <c r="B10" s="184" t="s">
        <v>109</v>
      </c>
      <c r="C10" s="144">
        <f>'7b-IncomeStatementYrs1-3'!C14</f>
        <v>115209.59431415587</v>
      </c>
      <c r="D10" s="5"/>
    </row>
    <row r="11" spans="2:7" x14ac:dyDescent="0.15">
      <c r="B11" s="26" t="s">
        <v>238</v>
      </c>
      <c r="C11" s="313">
        <f>IF(C10&gt;0, C9/C10, 0)</f>
        <v>0.79625458080921396</v>
      </c>
      <c r="D11" s="5"/>
    </row>
    <row r="12" spans="2:7" ht="13" thickBot="1" x14ac:dyDescent="0.2">
      <c r="B12" s="506" t="s">
        <v>239</v>
      </c>
      <c r="C12" s="506"/>
      <c r="D12" s="245"/>
      <c r="E12" s="19"/>
    </row>
    <row r="13" spans="2:7" ht="29.25" customHeight="1" thickTop="1" x14ac:dyDescent="0.15">
      <c r="B13" s="322" t="s">
        <v>211</v>
      </c>
      <c r="C13" s="376">
        <f>'2a-PayrollYear1'!R25</f>
        <v>24252.65</v>
      </c>
      <c r="D13" s="245"/>
      <c r="E13" s="19"/>
    </row>
    <row r="14" spans="2:7" ht="29.25" customHeight="1" x14ac:dyDescent="0.15">
      <c r="B14" s="7" t="s">
        <v>135</v>
      </c>
      <c r="C14" s="246">
        <f>'5a-OpExYear1'!O38</f>
        <v>53302.659672070404</v>
      </c>
      <c r="D14" s="245"/>
      <c r="E14" s="19"/>
    </row>
    <row r="15" spans="2:7" x14ac:dyDescent="0.15">
      <c r="B15" s="26" t="s">
        <v>240</v>
      </c>
      <c r="C15" s="448">
        <f>SUM(C13:C14)</f>
        <v>77555.309672070405</v>
      </c>
      <c r="D15" s="245"/>
      <c r="E15" s="19"/>
    </row>
    <row r="16" spans="2:7" ht="13" thickBot="1" x14ac:dyDescent="0.2">
      <c r="B16" s="506" t="s">
        <v>225</v>
      </c>
      <c r="C16" s="506"/>
      <c r="D16" s="245"/>
      <c r="E16" s="19"/>
    </row>
    <row r="17" spans="2:11" ht="29.25" customHeight="1" thickTop="1" x14ac:dyDescent="0.15">
      <c r="B17" s="367" t="s">
        <v>241</v>
      </c>
      <c r="C17" s="377">
        <f>C11</f>
        <v>0.79625458080921396</v>
      </c>
      <c r="D17" s="245"/>
      <c r="E17" s="19"/>
    </row>
    <row r="18" spans="2:11" ht="29.25" customHeight="1" x14ac:dyDescent="0.15">
      <c r="B18" s="184" t="s">
        <v>239</v>
      </c>
      <c r="C18" s="314">
        <f>C15</f>
        <v>77555.309672070405</v>
      </c>
      <c r="D18" s="245"/>
      <c r="E18" s="19"/>
    </row>
    <row r="19" spans="2:11" ht="29.25" customHeight="1" x14ac:dyDescent="0.15">
      <c r="B19" s="26" t="s">
        <v>346</v>
      </c>
      <c r="C19" s="132">
        <f>IF(C11=0,0, C15/C11)</f>
        <v>97400.142543924652</v>
      </c>
      <c r="D19" s="245"/>
      <c r="E19" s="19"/>
    </row>
    <row r="20" spans="2:11" ht="13" x14ac:dyDescent="0.15">
      <c r="B20" s="262" t="s">
        <v>307</v>
      </c>
      <c r="C20" s="247">
        <f>C19/12</f>
        <v>8116.6785453270541</v>
      </c>
      <c r="D20" s="248"/>
      <c r="E20" s="19"/>
    </row>
    <row r="21" spans="2:11" x14ac:dyDescent="0.15">
      <c r="C21" s="249"/>
      <c r="D21" s="248"/>
      <c r="E21" s="19"/>
    </row>
    <row r="22" spans="2:11" x14ac:dyDescent="0.15">
      <c r="C22" s="250"/>
      <c r="D22" s="248"/>
      <c r="E22" s="19"/>
    </row>
    <row r="23" spans="2:11" x14ac:dyDescent="0.15">
      <c r="B23" s="19"/>
      <c r="C23" s="251"/>
      <c r="D23" s="248"/>
      <c r="E23" s="19"/>
    </row>
    <row r="24" spans="2:11" x14ac:dyDescent="0.15">
      <c r="B24" s="252"/>
      <c r="C24" s="253"/>
      <c r="D24" s="254"/>
      <c r="E24" s="19"/>
    </row>
    <row r="25" spans="2:11" x14ac:dyDescent="0.15">
      <c r="B25" s="252"/>
      <c r="C25" s="255"/>
      <c r="D25" s="254"/>
      <c r="E25" s="19"/>
    </row>
    <row r="26" spans="2:11" x14ac:dyDescent="0.15">
      <c r="B26" s="8"/>
      <c r="C26" s="253"/>
      <c r="D26" s="256"/>
      <c r="E26" s="19"/>
    </row>
    <row r="27" spans="2:11" x14ac:dyDescent="0.15">
      <c r="B27" s="8"/>
      <c r="C27" s="253"/>
      <c r="D27" s="256"/>
      <c r="E27" s="19"/>
      <c r="J27" s="9"/>
      <c r="K27" s="9"/>
    </row>
    <row r="28" spans="2:11" x14ac:dyDescent="0.15">
      <c r="B28" s="8"/>
      <c r="C28" s="253"/>
      <c r="D28" s="256"/>
      <c r="E28" s="19"/>
    </row>
    <row r="29" spans="2:11" x14ac:dyDescent="0.15">
      <c r="B29" s="8"/>
      <c r="C29" s="253"/>
      <c r="D29" s="256"/>
      <c r="E29" s="19"/>
    </row>
    <row r="30" spans="2:11" x14ac:dyDescent="0.15">
      <c r="B30" s="8"/>
      <c r="C30" s="253"/>
      <c r="D30" s="256"/>
      <c r="E30" s="19"/>
    </row>
    <row r="31" spans="2:11" x14ac:dyDescent="0.15">
      <c r="B31" s="8"/>
      <c r="C31" s="253"/>
      <c r="D31" s="256"/>
      <c r="E31" s="19"/>
    </row>
    <row r="32" spans="2:11" x14ac:dyDescent="0.15">
      <c r="B32" s="8"/>
      <c r="C32" s="253"/>
      <c r="D32" s="256"/>
      <c r="E32" s="19"/>
    </row>
    <row r="33" spans="1:5" x14ac:dyDescent="0.15">
      <c r="B33" s="8"/>
      <c r="C33" s="253"/>
      <c r="D33" s="256"/>
      <c r="E33" s="19"/>
    </row>
    <row r="34" spans="1:5" x14ac:dyDescent="0.15">
      <c r="B34" s="8"/>
      <c r="C34" s="253"/>
      <c r="D34" s="256"/>
      <c r="E34" s="19"/>
    </row>
    <row r="35" spans="1:5" x14ac:dyDescent="0.15">
      <c r="B35" s="8"/>
      <c r="C35" s="253"/>
      <c r="D35" s="256"/>
      <c r="E35" s="19"/>
    </row>
    <row r="36" spans="1:5" x14ac:dyDescent="0.15">
      <c r="B36" s="8"/>
      <c r="C36" s="253"/>
      <c r="D36" s="256"/>
      <c r="E36" s="19"/>
    </row>
    <row r="37" spans="1:5" x14ac:dyDescent="0.15">
      <c r="B37" s="8"/>
      <c r="C37" s="253"/>
      <c r="D37" s="256"/>
      <c r="E37" s="19"/>
    </row>
    <row r="38" spans="1:5" x14ac:dyDescent="0.15">
      <c r="B38" s="8"/>
      <c r="C38" s="253"/>
      <c r="D38" s="256"/>
      <c r="E38" s="8"/>
    </row>
    <row r="39" spans="1:5" x14ac:dyDescent="0.15">
      <c r="B39" s="8"/>
      <c r="C39" s="253"/>
      <c r="D39" s="257"/>
      <c r="E39" s="8"/>
    </row>
    <row r="40" spans="1:5" x14ac:dyDescent="0.15">
      <c r="B40" s="252"/>
      <c r="C40" s="258"/>
      <c r="D40" s="259"/>
      <c r="E40" s="8"/>
    </row>
    <row r="41" spans="1:5" x14ac:dyDescent="0.15">
      <c r="B41" s="252"/>
      <c r="C41" s="258"/>
      <c r="D41" s="259"/>
      <c r="E41" s="8"/>
    </row>
    <row r="42" spans="1:5" x14ac:dyDescent="0.15">
      <c r="B42" s="9"/>
      <c r="C42" s="260"/>
      <c r="D42" s="259"/>
      <c r="E42" s="8"/>
    </row>
    <row r="43" spans="1:5" x14ac:dyDescent="0.15">
      <c r="D43" s="261"/>
      <c r="E43" s="8"/>
    </row>
    <row r="44" spans="1:5" x14ac:dyDescent="0.15">
      <c r="B44" s="252"/>
      <c r="C44" s="260"/>
      <c r="D44" s="259"/>
      <c r="E44" s="8"/>
    </row>
    <row r="45" spans="1:5" x14ac:dyDescent="0.15">
      <c r="A45" s="8"/>
      <c r="B45" s="8"/>
      <c r="C45" s="8"/>
      <c r="D45" s="8"/>
      <c r="E45" s="8"/>
    </row>
    <row r="46" spans="1:5" x14ac:dyDescent="0.15">
      <c r="B46" s="8"/>
      <c r="C46" s="8"/>
      <c r="D46" s="20"/>
      <c r="E46" s="8"/>
    </row>
    <row r="47" spans="1:5" x14ac:dyDescent="0.15">
      <c r="B47" s="8"/>
      <c r="C47" s="8"/>
      <c r="D47" s="16"/>
      <c r="E47" s="8"/>
    </row>
    <row r="48" spans="1:5" x14ac:dyDescent="0.15">
      <c r="B48" s="8"/>
      <c r="C48" s="8"/>
      <c r="D48" s="16"/>
      <c r="E48" s="8"/>
    </row>
  </sheetData>
  <sheetProtection password="CC3D" sheet="1" objects="1" scenarios="1" formatColumns="0" formatRows="0"/>
  <mergeCells count="3">
    <mergeCell ref="B8:C8"/>
    <mergeCell ref="B12:C12"/>
    <mergeCell ref="B16:C16"/>
  </mergeCells>
  <phoneticPr fontId="3" type="noConversion"/>
  <printOptions horizontalCentered="1"/>
  <pageMargins left="0.25" right="0.25" top="0.75" bottom="0.75" header="0.3" footer="0.3"/>
  <pageSetup orientation="landscape" r:id="rId1"/>
  <headerFooter scaleWithDoc="0">
    <oddHeader>&amp;C&amp;"Gill Sans MT,Regular"&amp;12Breakeven Analysis</oddHeader>
    <oddFooter>&amp;L&amp;"Gill Sans MT,Regular"&amp;12&amp;F&amp;C&amp;"Gill Sans MT,Regular"&amp;12&amp;A&amp;R&amp;"Gill Sans MT,Regular"&amp;12&amp;D &amp;T</oddFooter>
  </headerFooter>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tabColor rgb="FF339966"/>
    <pageSetUpPr fitToPage="1"/>
  </sheetPr>
  <dimension ref="A1:H33"/>
  <sheetViews>
    <sheetView zoomScale="228" zoomScaleNormal="100" workbookViewId="0">
      <selection activeCell="D31" sqref="D31"/>
    </sheetView>
  </sheetViews>
  <sheetFormatPr baseColWidth="10" defaultColWidth="17.5" defaultRowHeight="12" x14ac:dyDescent="0.15"/>
  <cols>
    <col min="1" max="1" width="9.33203125" style="46" customWidth="1"/>
    <col min="2" max="2" width="39.83203125" style="46" customWidth="1"/>
    <col min="3" max="3" width="15.1640625" style="46" bestFit="1" customWidth="1"/>
    <col min="4" max="4" width="16.33203125" style="46" bestFit="1" customWidth="1"/>
    <col min="5" max="5" width="12.5" style="46" bestFit="1" customWidth="1"/>
    <col min="6" max="6" width="17.33203125" style="46" bestFit="1" customWidth="1"/>
    <col min="7" max="7" width="12.33203125" style="46" customWidth="1"/>
    <col min="8" max="16384" width="17.5" style="46"/>
  </cols>
  <sheetData>
    <row r="1" spans="1:7" x14ac:dyDescent="0.15">
      <c r="A1" s="9"/>
      <c r="B1" s="9"/>
    </row>
    <row r="2" spans="1:7" x14ac:dyDescent="0.15">
      <c r="B2" s="55" t="s">
        <v>234</v>
      </c>
    </row>
    <row r="3" spans="1:7" x14ac:dyDescent="0.15">
      <c r="B3" s="241"/>
    </row>
    <row r="4" spans="1:7" x14ac:dyDescent="0.15">
      <c r="B4" s="160" t="s">
        <v>130</v>
      </c>
      <c r="C4" s="160" t="s">
        <v>131</v>
      </c>
    </row>
    <row r="5" spans="1:7" x14ac:dyDescent="0.15">
      <c r="A5" s="9"/>
      <c r="B5" s="169" t="str">
        <f>IF(ISBLANK(Directions!C10), "Owner", Directions!C10)</f>
        <v>Dave Johnson</v>
      </c>
      <c r="C5" s="169" t="str">
        <f>IF(ISBLANK(Directions!D10), "Company 1", Directions!D10)</f>
        <v>Dave's Famous Pretzels</v>
      </c>
      <c r="D5" s="5"/>
      <c r="E5" s="5"/>
    </row>
    <row r="6" spans="1:7" x14ac:dyDescent="0.15">
      <c r="A6" s="9"/>
      <c r="B6" s="9"/>
      <c r="C6" s="5"/>
      <c r="D6" s="5"/>
      <c r="E6" s="5"/>
    </row>
    <row r="7" spans="1:7" ht="14" thickBot="1" x14ac:dyDescent="0.2">
      <c r="B7" s="344" t="s">
        <v>194</v>
      </c>
      <c r="C7" s="344" t="s">
        <v>165</v>
      </c>
      <c r="D7" s="344" t="s">
        <v>168</v>
      </c>
      <c r="E7" s="344" t="s">
        <v>169</v>
      </c>
      <c r="F7" s="344" t="s">
        <v>202</v>
      </c>
      <c r="G7" s="344" t="s">
        <v>32</v>
      </c>
    </row>
    <row r="8" spans="1:7" ht="13" thickTop="1" x14ac:dyDescent="0.15">
      <c r="A8" s="9"/>
      <c r="B8" s="378" t="s">
        <v>176</v>
      </c>
      <c r="C8" s="379"/>
      <c r="D8" s="380"/>
      <c r="E8" s="322"/>
      <c r="F8" s="322"/>
      <c r="G8" s="322"/>
    </row>
    <row r="9" spans="1:7" x14ac:dyDescent="0.15">
      <c r="A9" s="9"/>
      <c r="B9" s="264" t="s">
        <v>177</v>
      </c>
      <c r="C9" s="265">
        <f>IF('8-BalanceSheet'!D37=0,0,'8-BalanceSheet'!D14/'8-BalanceSheet'!D37)</f>
        <v>0.16676070991976355</v>
      </c>
      <c r="D9" s="265">
        <f>IF('8-BalanceSheet'!E37=0,0,'8-BalanceSheet'!E14/'8-BalanceSheet'!E37)</f>
        <v>0.59389002846595851</v>
      </c>
      <c r="E9" s="265">
        <f>IF('8-BalanceSheet'!F37=0,0,'8-BalanceSheet'!F14/'8-BalanceSheet'!F37)</f>
        <v>1.6734981858395102</v>
      </c>
      <c r="F9" s="266"/>
      <c r="G9" s="7"/>
    </row>
    <row r="10" spans="1:7" x14ac:dyDescent="0.15">
      <c r="A10" s="9"/>
      <c r="B10" s="264" t="s">
        <v>178</v>
      </c>
      <c r="C10" s="265">
        <f>IF('8-BalanceSheet'!D37=0,0,('8-BalanceSheet'!D9+'8-BalanceSheet'!D10)/'8-BalanceSheet'!D37)</f>
        <v>0.13074668726854974</v>
      </c>
      <c r="D10" s="265">
        <f>IF('8-BalanceSheet'!E37=0,0,('8-BalanceSheet'!E9+'8-BalanceSheet'!E10)/'8-BalanceSheet'!E37)</f>
        <v>0.57142962890333926</v>
      </c>
      <c r="E10" s="265">
        <f>IF('8-BalanceSheet'!F37=0,0,('8-BalanceSheet'!F9+'8-BalanceSheet'!F10)/'8-BalanceSheet'!F37)</f>
        <v>1.6734981858395102</v>
      </c>
      <c r="F10" s="266"/>
      <c r="G10" s="7"/>
    </row>
    <row r="11" spans="1:7" x14ac:dyDescent="0.15">
      <c r="A11" s="9"/>
      <c r="B11" s="44" t="s">
        <v>179</v>
      </c>
      <c r="C11" s="265"/>
      <c r="D11" s="265"/>
      <c r="E11" s="265"/>
      <c r="F11" s="266"/>
      <c r="G11" s="7"/>
    </row>
    <row r="12" spans="1:7" x14ac:dyDescent="0.15">
      <c r="A12" s="9"/>
      <c r="B12" s="264" t="s">
        <v>80</v>
      </c>
      <c r="C12" s="265">
        <f>IF('8-BalanceSheet'!D42=0,0,'8-BalanceSheet'!D37/'8-BalanceSheet'!D42)</f>
        <v>14.900625597079282</v>
      </c>
      <c r="D12" s="265">
        <f>IF('8-BalanceSheet'!E42=0,0,'8-BalanceSheet'!E37/'8-BalanceSheet'!E42)</f>
        <v>2.12835871128611</v>
      </c>
      <c r="E12" s="265">
        <f>IF('8-BalanceSheet'!F42=0,0,'8-BalanceSheet'!F37/'8-BalanceSheet'!F42)</f>
        <v>0.65205434383254313</v>
      </c>
      <c r="F12" s="266"/>
      <c r="G12" s="7"/>
    </row>
    <row r="13" spans="1:7" x14ac:dyDescent="0.15">
      <c r="A13" s="9"/>
      <c r="B13" s="264" t="s">
        <v>308</v>
      </c>
      <c r="C13" s="265">
        <f>IF('8-BalanceSheet'!D37=0,0,('7a-IncomeStatementYear1'!O60+'7a-IncomeStatementYear1'!O48)/'8-BalanceSheet'!D37)</f>
        <v>0.26518840078178485</v>
      </c>
      <c r="D13" s="265">
        <f>IF('8-BalanceSheet'!E37=0,0,('7b-IncomeStatementYrs1-3'!E47+NetIncomeY2)/'8-BalanceSheet'!E37)</f>
        <v>0.63320116389362346</v>
      </c>
      <c r="E13" s="265">
        <f>IF('8-BalanceSheet'!F37=0,0,('7b-IncomeStatementYrs1-3'!G47+NetIncomeY3)/'8-BalanceSheet'!F37)</f>
        <v>1.2289230683122356</v>
      </c>
      <c r="F13" s="266"/>
      <c r="G13" s="7"/>
    </row>
    <row r="14" spans="1:7" x14ac:dyDescent="0.15">
      <c r="A14" s="9"/>
      <c r="B14" s="44" t="s">
        <v>180</v>
      </c>
      <c r="C14" s="267"/>
      <c r="D14" s="267"/>
      <c r="E14" s="267"/>
      <c r="F14" s="7"/>
      <c r="G14" s="7"/>
    </row>
    <row r="15" spans="1:7" x14ac:dyDescent="0.15">
      <c r="A15" s="9"/>
      <c r="B15" s="264" t="s">
        <v>181</v>
      </c>
      <c r="C15" s="268">
        <v>0</v>
      </c>
      <c r="D15" s="268">
        <f>IF('7b-IncomeStatementYrs1-3'!C14=0,0,('7b-IncomeStatementYrs1-3'!E14- '7b-IncomeStatementYrs1-3'!C14)/'7b-IncomeStatementYrs1-3'!C14)</f>
        <v>0.45882907716640969</v>
      </c>
      <c r="E15" s="268">
        <f>IF('7b-IncomeStatementYrs1-3'!E14=0,0,('7b-IncomeStatementYrs1-3'!G14- '7b-IncomeStatementYrs1-3'!E14)/'7b-IncomeStatementYrs1-3'!E14)</f>
        <v>0.30816165498851567</v>
      </c>
      <c r="F15" s="163"/>
      <c r="G15" s="7"/>
    </row>
    <row r="16" spans="1:7" x14ac:dyDescent="0.15">
      <c r="A16" s="9"/>
      <c r="B16" s="264" t="s">
        <v>182</v>
      </c>
      <c r="C16" s="268">
        <f>IF('7b-IncomeStatementYrs1-3'!C14=0,0,'7b-IncomeStatementYrs1-3'!C22/'7b-IncomeStatementYrs1-3'!C14)</f>
        <v>0.20374541919078601</v>
      </c>
      <c r="D16" s="268">
        <f>IF('7b-IncomeStatementYrs1-3'!E14=0,0,'7b-IncomeStatementYrs1-3'!E22/'7b-IncomeStatementYrs1-3'!E14)</f>
        <v>0.20374541919078601</v>
      </c>
      <c r="E16" s="268">
        <f>IF('7b-IncomeStatementYrs1-3'!G14=0,0,'7b-IncomeStatementYrs1-3'!G22/'7b-IncomeStatementYrs1-3'!G14)</f>
        <v>0.20374541919078606</v>
      </c>
      <c r="F16" s="163"/>
      <c r="G16" s="7"/>
    </row>
    <row r="17" spans="1:8" x14ac:dyDescent="0.15">
      <c r="A17" s="9"/>
      <c r="B17" s="264" t="s">
        <v>183</v>
      </c>
      <c r="C17" s="268">
        <f>BreakevenAnalysis!C11</f>
        <v>0.79625458080921396</v>
      </c>
      <c r="D17" s="268">
        <f>IF('7b-IncomeStatementYrs1-3'!E14=0,0,'7b-IncomeStatementYrs1-3'!E23/'7b-IncomeStatementYrs1-3'!E14)</f>
        <v>0.79625458080921407</v>
      </c>
      <c r="E17" s="268">
        <f>IF('7b-IncomeStatementYrs1-3'!G14=0,0,'7b-IncomeStatementYrs1-3'!G23/'7b-IncomeStatementYrs1-3'!G14)</f>
        <v>0.79625458080921396</v>
      </c>
      <c r="F17" s="163"/>
      <c r="G17" s="7"/>
    </row>
    <row r="18" spans="1:8" x14ac:dyDescent="0.15">
      <c r="A18" s="9"/>
      <c r="B18" s="264" t="s">
        <v>184</v>
      </c>
      <c r="C18" s="268">
        <f>IF('7a-IncomeStatementYear1'!O15=0,0,('7a-IncomeStatementYear1'!O25+'7a-IncomeStatementYear1'!O44)/'7a-IncomeStatementYear1'!O15)</f>
        <v>0.24262432453132457</v>
      </c>
      <c r="D18" s="268">
        <f>IF('7b-IncomeStatementYrs1-3'!E14=0,0,('7b-IncomeStatementYrs1-3'!E24+'7b-IncomeStatementYrs1-3'!E43)/'7b-IncomeStatementYrs1-3'!E14)</f>
        <v>0.19208643733451536</v>
      </c>
      <c r="E18" s="268">
        <f>IF('7b-IncomeStatementYrs1-3'!G14=0,0,('7b-IncomeStatementYrs1-3'!G24+'7b-IncomeStatementYrs1-3'!G43)/'7b-IncomeStatementYrs1-3'!G14)</f>
        <v>0.18627893217493255</v>
      </c>
      <c r="F18" s="163"/>
      <c r="G18" s="7"/>
    </row>
    <row r="19" spans="1:8" x14ac:dyDescent="0.15">
      <c r="A19" s="9"/>
      <c r="B19" s="264" t="s">
        <v>185</v>
      </c>
      <c r="C19" s="268">
        <f>IF('7b-IncomeStatementYrs1-3'!C14=0,0,NetIncomeY1/'7b-IncomeStatementYrs1-3'!C14)</f>
        <v>9.704797261293352E-2</v>
      </c>
      <c r="D19" s="268">
        <f>IF('7b-IncomeStatementYrs1-3'!E14=0,0,NetIncomeY2/'7b-IncomeStatementYrs1-3'!E14)</f>
        <v>0.30686819327685644</v>
      </c>
      <c r="E19" s="268">
        <f>IF('7b-IncomeStatementYrs1-3'!G14=0,0,NetIncomeY3/'7b-IncomeStatementYrs1-3'!G14)</f>
        <v>0.39578122527795484</v>
      </c>
      <c r="F19" s="163"/>
      <c r="G19" s="7"/>
    </row>
    <row r="20" spans="1:8" x14ac:dyDescent="0.15">
      <c r="A20" s="9"/>
      <c r="B20" s="264" t="s">
        <v>203</v>
      </c>
      <c r="C20" s="268">
        <f>IF('8-BalanceSheet'!D42=0,0, NetIncomeY1/'8-BalanceSheet'!D42)</f>
        <v>1</v>
      </c>
      <c r="D20" s="268">
        <f>IF('8-BalanceSheet'!E42=0,0, NetIncomeY2/'8-BalanceSheet'!E42)</f>
        <v>0.82183755542075554</v>
      </c>
      <c r="E20" s="268">
        <f>IF('8-BalanceSheet'!F42=0,0, NetIncomeY3/'8-BalanceSheet'!F42)</f>
        <v>0.58099361043043518</v>
      </c>
      <c r="F20" s="163"/>
      <c r="G20" s="7"/>
    </row>
    <row r="21" spans="1:8" x14ac:dyDescent="0.15">
      <c r="A21" s="9"/>
      <c r="B21" s="264" t="s">
        <v>186</v>
      </c>
      <c r="C21" s="268">
        <f>IF('8-BalanceSheet'!D26=0,0, NetIncomeY1/'8-BalanceSheet'!D26)</f>
        <v>6.2890830082614549E-2</v>
      </c>
      <c r="D21" s="268">
        <f>IF('8-BalanceSheet'!E26=0,0, NetIncomeY2/'8-BalanceSheet'!E26)</f>
        <v>0.26270693693859087</v>
      </c>
      <c r="E21" s="268">
        <f>IF('8-BalanceSheet'!F26=0,0, NetIncomeY3/'8-BalanceSheet'!F26)</f>
        <v>0.35168069643858535</v>
      </c>
      <c r="F21" s="163"/>
      <c r="G21" s="7"/>
    </row>
    <row r="22" spans="1:8" x14ac:dyDescent="0.15">
      <c r="A22" s="9"/>
      <c r="B22" s="264" t="s">
        <v>187</v>
      </c>
      <c r="C22" s="268">
        <f>IF('7b-IncomeStatementYrs1-3'!C14=0,0,'2b-PayrollYrs1-3'!C9/'7b-IncomeStatementYrs1-3'!C14)</f>
        <v>0.13540538956730985</v>
      </c>
      <c r="D22" s="268">
        <f>IF('7b-IncomeStatementYrs1-3'!E14=0,0,'2b-PayrollYrs1-3'!E9/'7b-IncomeStatementYrs1-3'!E14)</f>
        <v>0.11138142913656557</v>
      </c>
      <c r="E22" s="268">
        <f>IF('7b-IncomeStatementYrs1-3'!G14=0,0,'2b-PayrollYrs1-3'!G9/'7b-IncomeStatementYrs1-3'!G14)</f>
        <v>0.1106865174692851</v>
      </c>
      <c r="F22" s="163"/>
      <c r="G22" s="7"/>
    </row>
    <row r="23" spans="1:8" x14ac:dyDescent="0.15">
      <c r="A23" s="9"/>
      <c r="B23" s="44" t="s">
        <v>188</v>
      </c>
      <c r="C23" s="267"/>
      <c r="D23" s="267"/>
      <c r="E23" s="267"/>
      <c r="F23" s="7"/>
      <c r="G23" s="7"/>
    </row>
    <row r="24" spans="1:8" x14ac:dyDescent="0.15">
      <c r="A24" s="9"/>
      <c r="B24" s="264" t="s">
        <v>189</v>
      </c>
      <c r="C24" s="265">
        <f>IF('7b-IncomeStatementYrs1-3'!C14=0,0, '8-BalanceSheet'!D10/'7b-IncomeStatementYrs1-3'!C14 * 360)</f>
        <v>0</v>
      </c>
      <c r="D24" s="265">
        <f>IF('7b-IncomeStatementYrs1-3'!E14=0,0,'8-BalanceSheet'!E10/'7b-IncomeStatementYrs1-3'!E14)*360</f>
        <v>-6.233896595421739E-14</v>
      </c>
      <c r="E24" s="265">
        <f>IF('7b-IncomeStatementYrs1-3'!G14=0,0, '8-BalanceSheet'!F10/'7b-IncomeStatementYrs1-3'!G14 * 360)</f>
        <v>0</v>
      </c>
      <c r="F24" s="266"/>
      <c r="G24" s="7"/>
    </row>
    <row r="25" spans="1:8" x14ac:dyDescent="0.15">
      <c r="A25" s="9"/>
      <c r="B25" s="264" t="s">
        <v>190</v>
      </c>
      <c r="C25" s="265">
        <f>IF('8-BalanceSheet'!D10=0,0,'7b-IncomeStatementYrs1-3'!C14/'8-BalanceSheet'!D10)</f>
        <v>0</v>
      </c>
      <c r="D25" s="265">
        <f>IF('8-BalanceSheet'!E10=0,0,'7b-IncomeStatementYrs1-3'!E14/'8-BalanceSheet'!E10)</f>
        <v>-5774879234673047</v>
      </c>
      <c r="E25" s="265">
        <f>IF('8-BalanceSheet'!F10=0,0,'7b-IncomeStatementYrs1-3'!G14/'8-BalanceSheet'!F10)</f>
        <v>0</v>
      </c>
      <c r="F25" s="266"/>
      <c r="G25" s="7"/>
    </row>
    <row r="26" spans="1:8" x14ac:dyDescent="0.15">
      <c r="A26" s="9"/>
      <c r="B26" s="264" t="s">
        <v>191</v>
      </c>
      <c r="C26" s="265">
        <f>IF('7b-IncomeStatementYrs1-3'!C22=0,0,'8-BalanceSheet'!D11/'7b-IncomeStatementYrs1-3'!C22*360)</f>
        <v>0</v>
      </c>
      <c r="D26" s="265">
        <f>IF('7b-IncomeStatementYrs1-3'!E22=0,0,'8-BalanceSheet'!E11/'7b-IncomeStatementYrs1-3'!E22*365)</f>
        <v>0</v>
      </c>
      <c r="E26" s="265">
        <f>IF('7b-IncomeStatementYrs1-3'!G22=0,0,'8-BalanceSheet'!F11/'7b-IncomeStatementYrs1-3'!G22*365)</f>
        <v>0</v>
      </c>
      <c r="F26" s="266"/>
      <c r="G26" s="7"/>
    </row>
    <row r="27" spans="1:8" x14ac:dyDescent="0.15">
      <c r="A27" s="9"/>
      <c r="B27" s="264" t="s">
        <v>192</v>
      </c>
      <c r="C27" s="265">
        <f>IF('8-BalanceSheet'!D11=0,0,'7b-IncomeStatementYrs1-3'!C22/'8-BalanceSheet'!D11)</f>
        <v>0</v>
      </c>
      <c r="D27" s="265">
        <f>IF('8-BalanceSheet'!E11=0,0,'7b-IncomeStatementYrs1-3'!E22/'8-BalanceSheet'!E11)</f>
        <v>0</v>
      </c>
      <c r="E27" s="265">
        <f>IF('8-BalanceSheet'!F11=0,0,'7b-IncomeStatementYrs1-3'!G22/'8-BalanceSheet'!F11)</f>
        <v>0</v>
      </c>
      <c r="F27" s="266"/>
      <c r="G27" s="7"/>
    </row>
    <row r="28" spans="1:8" x14ac:dyDescent="0.15">
      <c r="A28" s="9"/>
      <c r="B28" s="264" t="s">
        <v>193</v>
      </c>
      <c r="C28" s="265">
        <f>IF('8-BalanceSheet'!D26=0,0,'7b-IncomeStatementYrs1-3'!C14/'8-BalanceSheet'!D26)</f>
        <v>0.64803857710092061</v>
      </c>
      <c r="D28" s="265">
        <f>IF('8-BalanceSheet'!E26=0,0,'7b-IncomeStatementYrs1-3'!E14/'8-BalanceSheet'!E26)</f>
        <v>0.8560904736763536</v>
      </c>
      <c r="E28" s="265">
        <f>IF('8-BalanceSheet'!F26=0,0,'7b-IncomeStatementYrs1-3'!G14/'8-BalanceSheet'!F26)</f>
        <v>0.88857346932412484</v>
      </c>
      <c r="F28" s="266"/>
      <c r="G28" s="7"/>
    </row>
    <row r="29" spans="1:8" x14ac:dyDescent="0.15">
      <c r="A29" s="9"/>
      <c r="B29" s="9"/>
      <c r="C29" s="84"/>
      <c r="D29" s="12"/>
      <c r="E29" s="12"/>
      <c r="F29" s="5"/>
      <c r="G29" s="5"/>
      <c r="H29" s="5"/>
    </row>
    <row r="30" spans="1:8" x14ac:dyDescent="0.15">
      <c r="A30" s="9"/>
      <c r="B30" s="12"/>
      <c r="C30" s="12"/>
      <c r="D30" s="12"/>
      <c r="E30" s="5"/>
    </row>
    <row r="31" spans="1:8" x14ac:dyDescent="0.15">
      <c r="A31" s="9"/>
      <c r="B31" s="12"/>
      <c r="C31" s="12"/>
      <c r="D31" s="12"/>
      <c r="E31" s="5"/>
    </row>
    <row r="32" spans="1:8" x14ac:dyDescent="0.15">
      <c r="A32" s="9"/>
      <c r="B32" s="12"/>
      <c r="C32" s="12"/>
      <c r="D32" s="12"/>
      <c r="E32" s="5"/>
    </row>
    <row r="33" spans="2:3" x14ac:dyDescent="0.15">
      <c r="B33" s="9"/>
      <c r="C33" s="12"/>
    </row>
  </sheetData>
  <sheetProtection password="CC3D" sheet="1" objects="1" scenarios="1" formatColumns="0" formatRows="0"/>
  <phoneticPr fontId="3" type="noConversion"/>
  <conditionalFormatting sqref="F9:F10">
    <cfRule type="containsBlanks" dxfId="5" priority="11">
      <formula>LEN(TRIM(F9))=0</formula>
    </cfRule>
  </conditionalFormatting>
  <conditionalFormatting sqref="F12:F13">
    <cfRule type="containsBlanks" dxfId="4" priority="10">
      <formula>LEN(TRIM(F12))=0</formula>
    </cfRule>
  </conditionalFormatting>
  <conditionalFormatting sqref="F15:F22">
    <cfRule type="containsBlanks" dxfId="3" priority="12">
      <formula>LEN(TRIM(F15))=0</formula>
    </cfRule>
  </conditionalFormatting>
  <conditionalFormatting sqref="F24:F28">
    <cfRule type="containsBlanks" dxfId="2" priority="9">
      <formula>LEN(TRIM(F24))=0</formula>
    </cfRule>
  </conditionalFormatting>
  <printOptions horizontalCentered="1" verticalCentered="1"/>
  <pageMargins left="0.25" right="0.25" top="0.75" bottom="0.75" header="0.3" footer="0.3"/>
  <pageSetup orientation="landscape" r:id="rId1"/>
  <headerFooter scaleWithDoc="0">
    <oddHeader>&amp;C&amp;"Gill Sans MT,Regular"&amp;12Financial Ratios - Year 1</oddHeader>
    <oddFooter>&amp;L&amp;"Gill Sans MT,Regular"&amp;12&amp;F&amp;C&amp;"Gill Sans MT,Regular"&amp;12&amp;A&amp;R&amp;"Gill Sans MT,Regular"&amp;12&amp;D &amp;T</oddFooter>
  </headerFooter>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1">
    <tabColor rgb="FF339966"/>
    <pageSetUpPr fitToPage="1"/>
  </sheetPr>
  <dimension ref="A1:H40"/>
  <sheetViews>
    <sheetView zoomScale="188" zoomScaleNormal="100" workbookViewId="0">
      <selection activeCell="C33" sqref="C33"/>
    </sheetView>
  </sheetViews>
  <sheetFormatPr baseColWidth="10" defaultColWidth="9.1640625" defaultRowHeight="12" x14ac:dyDescent="0.15"/>
  <cols>
    <col min="1" max="1" width="6.33203125" style="46" customWidth="1"/>
    <col min="2" max="2" width="41.1640625" style="46" customWidth="1"/>
    <col min="3" max="3" width="11.6640625" style="46" bestFit="1" customWidth="1"/>
    <col min="4" max="4" width="53.6640625" style="46" customWidth="1"/>
    <col min="5" max="5" width="9.1640625" style="46"/>
    <col min="6" max="6" width="23.33203125" style="46" bestFit="1" customWidth="1"/>
    <col min="7" max="16384" width="9.1640625" style="46"/>
  </cols>
  <sheetData>
    <row r="1" spans="1:8" x14ac:dyDescent="0.15">
      <c r="A1" s="9"/>
      <c r="B1" s="9"/>
    </row>
    <row r="2" spans="1:8" x14ac:dyDescent="0.15">
      <c r="B2" s="55" t="s">
        <v>233</v>
      </c>
    </row>
    <row r="3" spans="1:8" x14ac:dyDescent="0.15">
      <c r="B3" s="241"/>
    </row>
    <row r="4" spans="1:8" x14ac:dyDescent="0.15">
      <c r="B4" s="160" t="s">
        <v>130</v>
      </c>
      <c r="C4" s="504" t="s">
        <v>131</v>
      </c>
      <c r="D4" s="504"/>
    </row>
    <row r="5" spans="1:8" x14ac:dyDescent="0.15">
      <c r="A5" s="9"/>
      <c r="B5" s="169" t="str">
        <f>IF(ISBLANK(Directions!C10), "Owner", Directions!C10)</f>
        <v>Dave Johnson</v>
      </c>
      <c r="C5" s="517" t="str">
        <f>IF(ISBLANK(Directions!D10), "Company 1", Directions!D10)</f>
        <v>Dave's Famous Pretzels</v>
      </c>
      <c r="D5" s="517"/>
      <c r="E5" s="5"/>
      <c r="F5" s="5"/>
      <c r="G5" s="5"/>
      <c r="H5" s="5"/>
    </row>
    <row r="6" spans="1:8" x14ac:dyDescent="0.15">
      <c r="A6" s="9"/>
      <c r="B6" s="9"/>
      <c r="C6" s="5"/>
      <c r="D6" s="5"/>
      <c r="E6" s="5"/>
      <c r="F6" s="5"/>
      <c r="G6" s="5"/>
      <c r="H6" s="5"/>
    </row>
    <row r="7" spans="1:8" ht="14" thickBot="1" x14ac:dyDescent="0.2">
      <c r="B7" s="344" t="s">
        <v>61</v>
      </c>
      <c r="C7" s="344" t="s">
        <v>59</v>
      </c>
      <c r="D7" s="344" t="s">
        <v>60</v>
      </c>
      <c r="E7" s="10"/>
      <c r="F7" s="10"/>
      <c r="G7" s="5"/>
      <c r="H7" s="10"/>
    </row>
    <row r="8" spans="1:8" ht="13" thickTop="1" x14ac:dyDescent="0.15">
      <c r="A8" s="9"/>
      <c r="B8" s="322" t="s">
        <v>62</v>
      </c>
      <c r="C8" s="381">
        <f>IF('1-StartingPoint'!D42=0,0,'1-StartingPoint'!D34/'1-StartingPoint'!C31)</f>
        <v>0</v>
      </c>
      <c r="D8" s="382" t="str">
        <f>IF(C8&gt;0.2,"Owner's injection is reasonable","Owner's injection might be too low in relation to the amount of money needed")</f>
        <v>Owner's injection might be too low in relation to the amount of money needed</v>
      </c>
      <c r="E8" s="11"/>
      <c r="F8" s="11"/>
      <c r="G8" s="5"/>
      <c r="H8" s="5"/>
    </row>
    <row r="9" spans="1:8" x14ac:dyDescent="0.15">
      <c r="A9" s="9"/>
      <c r="B9" s="7" t="s">
        <v>63</v>
      </c>
      <c r="C9" s="21">
        <f>IF('1-StartingPoint'!C31=0,0,'1-StartingPoint'!C29/'1-StartingPoint'!C31)</f>
        <v>2.5380710659898477E-2</v>
      </c>
      <c r="D9" s="13" t="str">
        <f>IF(C9&lt;0.2,"Cash request seems reasonable with respect to total request","Cash request exceeds 20% which might be too high")</f>
        <v>Cash request seems reasonable with respect to total request</v>
      </c>
      <c r="E9" s="11"/>
      <c r="F9" s="11"/>
      <c r="G9" s="5"/>
      <c r="H9" s="5"/>
    </row>
    <row r="10" spans="1:8" x14ac:dyDescent="0.15">
      <c r="A10" s="9"/>
      <c r="B10" s="26"/>
      <c r="C10" s="263"/>
      <c r="D10" s="13"/>
      <c r="E10" s="11"/>
      <c r="F10" s="11"/>
      <c r="G10" s="5"/>
      <c r="H10" s="5"/>
    </row>
    <row r="11" spans="1:8" ht="14" thickBot="1" x14ac:dyDescent="0.2">
      <c r="A11" s="9"/>
      <c r="B11" s="344" t="s">
        <v>64</v>
      </c>
      <c r="C11" s="344" t="s">
        <v>59</v>
      </c>
      <c r="D11" s="344" t="s">
        <v>60</v>
      </c>
      <c r="E11" s="11"/>
      <c r="F11" s="11"/>
      <c r="G11" s="5"/>
      <c r="H11" s="5"/>
    </row>
    <row r="12" spans="1:8" ht="13" thickTop="1" x14ac:dyDescent="0.15">
      <c r="A12" s="9"/>
      <c r="B12" s="322" t="s">
        <v>65</v>
      </c>
      <c r="C12" s="381">
        <f>'1-StartingPoint'!E37</f>
        <v>0.105</v>
      </c>
      <c r="D12" s="322" t="str">
        <f>IF(C12&lt;0.06,"Interest rate may be too low for the type of loan requested","Interest rate seems reasonable")</f>
        <v>Interest rate seems reasonable</v>
      </c>
      <c r="E12" s="5"/>
      <c r="F12" s="5"/>
      <c r="G12" s="5"/>
      <c r="H12" s="5"/>
    </row>
    <row r="13" spans="1:8" x14ac:dyDescent="0.15">
      <c r="A13" s="9"/>
      <c r="B13" s="7" t="s">
        <v>66</v>
      </c>
      <c r="C13" s="22">
        <f>'1-StartingPoint'!F37</f>
        <v>84</v>
      </c>
      <c r="D13" s="7" t="str">
        <f>IF(C13&gt;120,"Loan term may be too high for this type of loan","Loan term seems within range for this type of loan")</f>
        <v>Loan term seems within range for this type of loan</v>
      </c>
      <c r="E13" s="12"/>
      <c r="F13" s="12"/>
      <c r="G13" s="5"/>
      <c r="H13" s="5"/>
    </row>
    <row r="14" spans="1:8" x14ac:dyDescent="0.15">
      <c r="A14" s="9"/>
      <c r="B14" s="7" t="s">
        <v>67</v>
      </c>
      <c r="C14" s="21">
        <f>'1-StartingPoint'!E38</f>
        <v>0.09</v>
      </c>
      <c r="D14" s="14" t="str">
        <f>IF(C14&lt;0.06,"Interest rate may be too low for type of loan requested","Interest rate seems reasonable")</f>
        <v>Interest rate seems reasonable</v>
      </c>
      <c r="E14" s="12"/>
      <c r="F14" s="12"/>
      <c r="G14" s="5"/>
      <c r="H14" s="5"/>
    </row>
    <row r="15" spans="1:8" x14ac:dyDescent="0.15">
      <c r="A15" s="9"/>
      <c r="B15" s="7" t="s">
        <v>68</v>
      </c>
      <c r="C15" s="23">
        <f>'1-StartingPoint'!F38</f>
        <v>240</v>
      </c>
      <c r="D15" s="15" t="str">
        <f>IF(C15&gt;240,"Loan term may be too high for this type of loan","Loan term seems within range for this type of loan")</f>
        <v>Loan term seems within range for this type of loan</v>
      </c>
      <c r="E15" s="12"/>
      <c r="F15" s="12"/>
      <c r="G15" s="5"/>
      <c r="H15" s="5"/>
    </row>
    <row r="16" spans="1:8" x14ac:dyDescent="0.15">
      <c r="A16" s="9"/>
      <c r="B16" s="7" t="s">
        <v>309</v>
      </c>
      <c r="C16" s="263">
        <f>FinancialRatios!C13</f>
        <v>0.26518840078178485</v>
      </c>
      <c r="D16" s="14" t="str">
        <f>IF(C16&gt;1,"Calculated loan payments relative to operating proft may be too high","Calculated loan payments relative to operating profit seem reasonable")</f>
        <v>Calculated loan payments relative to operating profit seem reasonable</v>
      </c>
      <c r="E16" s="12"/>
      <c r="F16" s="12"/>
      <c r="G16" s="5"/>
      <c r="H16" s="5"/>
    </row>
    <row r="17" spans="1:8" x14ac:dyDescent="0.15">
      <c r="A17" s="9"/>
      <c r="B17" s="26"/>
      <c r="C17" s="21"/>
      <c r="D17" s="14"/>
      <c r="E17" s="12"/>
      <c r="F17" s="12"/>
      <c r="G17" s="5"/>
      <c r="H17" s="5"/>
    </row>
    <row r="18" spans="1:8" ht="14" thickBot="1" x14ac:dyDescent="0.2">
      <c r="A18" s="9"/>
      <c r="B18" s="344" t="s">
        <v>69</v>
      </c>
      <c r="C18" s="344" t="s">
        <v>59</v>
      </c>
      <c r="D18" s="344" t="s">
        <v>60</v>
      </c>
      <c r="E18" s="12"/>
      <c r="F18" s="12"/>
      <c r="G18" s="5"/>
      <c r="H18" s="5"/>
    </row>
    <row r="19" spans="1:8" ht="13" thickTop="1" x14ac:dyDescent="0.15">
      <c r="A19" s="9"/>
      <c r="B19" s="322" t="s">
        <v>70</v>
      </c>
      <c r="C19" s="381">
        <f>BreakevenAnalysis!C11</f>
        <v>0.79625458080921396</v>
      </c>
      <c r="D19" s="383" t="str">
        <f>IF(C19&lt;0.2,"Gross margin percentage seems very low","Gross margin percentage seems reasonable")</f>
        <v>Gross margin percentage seems reasonable</v>
      </c>
      <c r="E19" s="12"/>
      <c r="F19" s="12"/>
      <c r="G19" s="5"/>
      <c r="H19" s="5"/>
    </row>
    <row r="20" spans="1:8" x14ac:dyDescent="0.15">
      <c r="A20" s="9"/>
      <c r="B20" s="7" t="s">
        <v>71</v>
      </c>
      <c r="C20" s="271">
        <f>'2a-PayrollYear1'!R8</f>
        <v>15600</v>
      </c>
      <c r="D20" s="14" t="str">
        <f>IF(C20&gt;0,"An owner's compensation amount has been established","An owner's compensation amount has not been established")</f>
        <v>An owner's compensation amount has been established</v>
      </c>
      <c r="E20" s="12"/>
      <c r="F20" s="12"/>
      <c r="G20" s="5"/>
      <c r="H20" s="5"/>
    </row>
    <row r="21" spans="1:8" x14ac:dyDescent="0.15">
      <c r="A21" s="9"/>
      <c r="B21" s="7" t="s">
        <v>72</v>
      </c>
      <c r="C21" s="21">
        <f>IF(NetIncomeY1=0,0,'2a-PayrollYear1'!R8/NetIncomeY1)</f>
        <v>1.3952418162032212</v>
      </c>
      <c r="D21" s="14" t="str">
        <f>IF(C21&gt;1,"Owner's compensation may be too high relative to profitability of business","Owner's compensation seems reasonable")</f>
        <v>Owner's compensation may be too high relative to profitability of business</v>
      </c>
      <c r="E21" s="12"/>
      <c r="F21" s="12"/>
      <c r="G21" s="5"/>
      <c r="H21" s="5"/>
    </row>
    <row r="22" spans="1:8" x14ac:dyDescent="0.15">
      <c r="A22" s="9"/>
      <c r="B22" s="7" t="s">
        <v>73</v>
      </c>
      <c r="C22" s="21">
        <f>IF('7b-IncomeStatementYrs1-3'!C14=0,0,'7b-IncomeStatementYrs1-3'!C26/'7b-IncomeStatementYrs1-3'!C14)</f>
        <v>1.8227648595599402E-2</v>
      </c>
      <c r="D22" s="14" t="str">
        <f>IF(C22&lt;0.02,"Advertising as a percent of sales may be too low","Advertising as a percent of sales seems reasonable")</f>
        <v>Advertising as a percent of sales may be too low</v>
      </c>
      <c r="E22" s="12"/>
      <c r="F22" s="12"/>
      <c r="G22" s="5"/>
      <c r="H22" s="5"/>
    </row>
    <row r="23" spans="1:8" x14ac:dyDescent="0.15">
      <c r="A23" s="9"/>
      <c r="B23" s="7" t="s">
        <v>74</v>
      </c>
      <c r="C23" s="271">
        <f>NetIncomeY1</f>
        <v>11180.857553747381</v>
      </c>
      <c r="D23" s="14" t="str">
        <f>IF(C23&lt;=0,"The business is not showing a profit","The business is showing a profit")</f>
        <v>The business is showing a profit</v>
      </c>
      <c r="E23" s="12"/>
      <c r="F23" s="12"/>
      <c r="G23" s="5"/>
      <c r="H23" s="5"/>
    </row>
    <row r="24" spans="1:8" x14ac:dyDescent="0.15">
      <c r="A24" s="9"/>
      <c r="B24" s="7" t="s">
        <v>75</v>
      </c>
      <c r="C24" s="21">
        <f>IF('7b-IncomeStatementYrs1-3'!C14=0,0,NetIncomeY1/'7b-IncomeStatementYrs1-3'!C14)</f>
        <v>9.704797261293352E-2</v>
      </c>
      <c r="D24" s="14" t="str">
        <f>IF(C24&gt;0.2,"The projection may be too aggressive in stating profitability","The projection does not seem highly unreasonable")</f>
        <v>The projection does not seem highly unreasonable</v>
      </c>
      <c r="E24" s="12"/>
      <c r="F24" s="12"/>
      <c r="G24" s="5"/>
      <c r="H24" s="5"/>
    </row>
    <row r="25" spans="1:8" x14ac:dyDescent="0.15">
      <c r="A25" s="9"/>
      <c r="B25" s="26"/>
      <c r="C25" s="24"/>
      <c r="D25" s="14"/>
      <c r="E25" s="12"/>
      <c r="F25" s="12"/>
      <c r="G25" s="5"/>
      <c r="H25" s="5"/>
    </row>
    <row r="26" spans="1:8" ht="14" thickBot="1" x14ac:dyDescent="0.2">
      <c r="A26" s="9"/>
      <c r="B26" s="344" t="s">
        <v>76</v>
      </c>
      <c r="C26" s="344" t="s">
        <v>59</v>
      </c>
      <c r="D26" s="344" t="s">
        <v>60</v>
      </c>
      <c r="E26" s="12"/>
      <c r="F26" s="12"/>
      <c r="G26" s="5"/>
      <c r="H26" s="5"/>
    </row>
    <row r="27" spans="1:8" ht="13" thickTop="1" x14ac:dyDescent="0.15">
      <c r="A27" s="9"/>
      <c r="B27" s="322" t="s">
        <v>77</v>
      </c>
      <c r="C27" s="384">
        <f>'6a-CashFlowYear1'!O32</f>
        <v>0</v>
      </c>
      <c r="D27" s="383" t="str">
        <f>IF(C27&lt;0,"The financial projection does not provide the desired level of cash flow","The financial projection provides the desired level of cash flow")</f>
        <v>The financial projection provides the desired level of cash flow</v>
      </c>
      <c r="E27" s="12"/>
      <c r="F27" s="12"/>
      <c r="G27" s="5"/>
      <c r="H27" s="5"/>
    </row>
    <row r="28" spans="1:8" x14ac:dyDescent="0.15">
      <c r="A28" s="9"/>
      <c r="B28" s="7" t="s">
        <v>310</v>
      </c>
      <c r="C28" s="191">
        <f>+C27</f>
        <v>0</v>
      </c>
      <c r="D28" s="14" t="str">
        <f>IF(C28&gt;0,"The business will need at least this level of a line of credit","The business doesn't seem to require a line of credit")</f>
        <v>The business doesn't seem to require a line of credit</v>
      </c>
      <c r="E28" s="12"/>
      <c r="F28" s="12"/>
      <c r="G28" s="5"/>
      <c r="H28" s="5"/>
    </row>
    <row r="29" spans="1:8" x14ac:dyDescent="0.15">
      <c r="A29" s="9"/>
      <c r="B29" s="7" t="s">
        <v>78</v>
      </c>
      <c r="C29" s="21">
        <f>IF('7b-IncomeStatementYrs1-3'!C14=0,0,'8-BalanceSheet'!D10/'7b-IncomeStatementYrs1-3'!C14)</f>
        <v>0</v>
      </c>
      <c r="D29" s="14" t="str">
        <f>IF(C29&gt;0.3,"Accounts receivable amounts seem high","Accounts receivable amount as a percent of sales seems reasonable")</f>
        <v>Accounts receivable amount as a percent of sales seems reasonable</v>
      </c>
      <c r="E29" s="12"/>
      <c r="F29" s="12"/>
      <c r="G29" s="5"/>
      <c r="H29" s="5"/>
    </row>
    <row r="30" spans="1:8" x14ac:dyDescent="0.15">
      <c r="A30" s="9"/>
      <c r="B30" s="26"/>
      <c r="C30" s="26"/>
      <c r="D30" s="14"/>
      <c r="E30" s="12"/>
      <c r="F30" s="12"/>
      <c r="G30" s="5"/>
      <c r="H30" s="5"/>
    </row>
    <row r="31" spans="1:8" ht="14" thickBot="1" x14ac:dyDescent="0.2">
      <c r="A31" s="9"/>
      <c r="B31" s="344" t="s">
        <v>79</v>
      </c>
      <c r="C31" s="344" t="s">
        <v>59</v>
      </c>
      <c r="D31" s="344" t="s">
        <v>60</v>
      </c>
      <c r="E31" s="12"/>
      <c r="F31" s="12"/>
      <c r="G31" s="5"/>
      <c r="H31" s="5"/>
    </row>
    <row r="32" spans="1:8" ht="13" thickTop="1" x14ac:dyDescent="0.15">
      <c r="A32" s="9"/>
      <c r="B32" s="322" t="s">
        <v>311</v>
      </c>
      <c r="C32" s="385">
        <f>'8-BalanceSheet'!D45</f>
        <v>0</v>
      </c>
      <c r="D32" s="383" t="str">
        <f>IF(C32&lt;&gt;0,"The balance sheet is not in balance","The balance sheet does balance")</f>
        <v>The balance sheet does balance</v>
      </c>
      <c r="E32" s="12"/>
      <c r="F32" s="12"/>
      <c r="G32" s="5"/>
      <c r="H32" s="5"/>
    </row>
    <row r="33" spans="1:8" x14ac:dyDescent="0.15">
      <c r="A33" s="9"/>
      <c r="B33" s="7" t="s">
        <v>80</v>
      </c>
      <c r="C33" s="21">
        <f>FinancialRatios!C12</f>
        <v>14.900625597079282</v>
      </c>
      <c r="D33" s="14" t="str">
        <f>IF(C33&lt;=2, "Very comfortable", IF(C33&lt;=3, "Reasonable", IF(C33&lt;=4, "Getting debt heavy", "Debt heavy")))</f>
        <v>Debt heavy</v>
      </c>
      <c r="E33" s="12"/>
      <c r="F33" s="12"/>
      <c r="G33" s="5"/>
      <c r="H33" s="5"/>
    </row>
    <row r="34" spans="1:8" x14ac:dyDescent="0.15">
      <c r="A34" s="9"/>
      <c r="B34" s="26"/>
      <c r="C34" s="24"/>
      <c r="D34" s="14"/>
      <c r="E34" s="12"/>
      <c r="F34" s="12"/>
      <c r="G34" s="5"/>
      <c r="H34" s="5"/>
    </row>
    <row r="35" spans="1:8" ht="14" thickBot="1" x14ac:dyDescent="0.2">
      <c r="A35" s="9"/>
      <c r="B35" s="344" t="s">
        <v>57</v>
      </c>
      <c r="C35" s="344" t="s">
        <v>59</v>
      </c>
      <c r="D35" s="344" t="s">
        <v>60</v>
      </c>
      <c r="E35" s="12"/>
      <c r="F35" s="12"/>
      <c r="G35" s="5"/>
      <c r="H35" s="5"/>
    </row>
    <row r="36" spans="1:8" ht="13" thickTop="1" x14ac:dyDescent="0.15">
      <c r="A36" s="9"/>
      <c r="B36" s="322" t="s">
        <v>312</v>
      </c>
      <c r="C36" s="385">
        <f>'7b-IncomeStatementYrs1-3'!C14-BreakevenAnalysis!C19</f>
        <v>17809.451770231215</v>
      </c>
      <c r="D36" s="383" t="str">
        <f>IF(C36&gt;0,"The sales projection exceeds the projected break-even sales level","The sales projection is less than the break-even amount")</f>
        <v>The sales projection exceeds the projected break-even sales level</v>
      </c>
      <c r="E36" s="12"/>
      <c r="F36" s="12"/>
      <c r="G36" s="5"/>
      <c r="H36" s="5"/>
    </row>
    <row r="37" spans="1:8" x14ac:dyDescent="0.15">
      <c r="A37" s="9"/>
      <c r="B37" s="9"/>
      <c r="C37" s="12"/>
      <c r="D37" s="12"/>
      <c r="E37" s="12"/>
      <c r="F37" s="12"/>
      <c r="G37" s="5"/>
      <c r="H37" s="5"/>
    </row>
    <row r="38" spans="1:8" x14ac:dyDescent="0.15">
      <c r="A38" s="9"/>
      <c r="B38" s="9"/>
      <c r="C38" s="12"/>
      <c r="D38" s="12"/>
      <c r="E38" s="12"/>
      <c r="F38" s="12"/>
      <c r="G38" s="5"/>
      <c r="H38" s="5"/>
    </row>
    <row r="39" spans="1:8" x14ac:dyDescent="0.15">
      <c r="A39" s="9"/>
      <c r="B39" s="9"/>
      <c r="C39" s="12"/>
      <c r="D39" s="12"/>
      <c r="E39" s="12"/>
      <c r="F39" s="12"/>
      <c r="G39" s="5"/>
      <c r="H39" s="5"/>
    </row>
    <row r="40" spans="1:8" x14ac:dyDescent="0.15">
      <c r="B40" s="9"/>
      <c r="C40" s="12"/>
      <c r="D40" s="12"/>
    </row>
  </sheetData>
  <sheetProtection password="CC3D" sheet="1" objects="1" scenarios="1" formatColumns="0" formatRows="0"/>
  <mergeCells count="2">
    <mergeCell ref="C4:D4"/>
    <mergeCell ref="C5:D5"/>
  </mergeCells>
  <phoneticPr fontId="3" type="noConversion"/>
  <printOptions horizontalCentered="1" verticalCentered="1"/>
  <pageMargins left="0.25" right="0.25" top="0.75" bottom="0.75" header="0.3" footer="0.3"/>
  <pageSetup orientation="landscape" r:id="rId1"/>
  <headerFooter scaleWithDoc="0">
    <oddHeader>&amp;C&amp;"Gill Sans MT,Regular"&amp;12Diagnostic Tools - Year 1</oddHeader>
    <oddFooter>&amp;L&amp;"Gill Sans MT,Regular"&amp;12&amp;F&amp;C&amp;"Gill Sans MT,Regular"&amp;12&amp;A&amp;R&amp;"Gill Sans MT,Regular"&amp;12&amp;D &amp;T</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9">
    <tabColor rgb="FF339966"/>
    <pageSetUpPr fitToPage="1"/>
  </sheetPr>
  <dimension ref="B1:I46"/>
  <sheetViews>
    <sheetView zoomScale="168" zoomScaleNormal="100" zoomScalePageLayoutView="80" workbookViewId="0">
      <selection activeCell="F25" sqref="F25"/>
    </sheetView>
  </sheetViews>
  <sheetFormatPr baseColWidth="10" defaultColWidth="8.83203125" defaultRowHeight="12" x14ac:dyDescent="0.15"/>
  <cols>
    <col min="1" max="1" width="9.1640625" style="78" customWidth="1"/>
    <col min="2" max="2" width="66.1640625" style="78" bestFit="1" customWidth="1"/>
    <col min="3" max="3" width="30.5" style="78" bestFit="1" customWidth="1"/>
    <col min="4" max="6" width="9.1640625" style="78" customWidth="1"/>
    <col min="7" max="9" width="9.1640625" style="237" customWidth="1"/>
    <col min="10" max="16384" width="8.83203125" style="78"/>
  </cols>
  <sheetData>
    <row r="1" spans="2:9" x14ac:dyDescent="0.15">
      <c r="G1" s="78"/>
      <c r="H1" s="78"/>
      <c r="I1" s="78"/>
    </row>
    <row r="2" spans="2:9" x14ac:dyDescent="0.15">
      <c r="B2" s="160" t="s">
        <v>132</v>
      </c>
      <c r="C2" s="232"/>
      <c r="G2" s="78"/>
      <c r="H2" s="78"/>
      <c r="I2" s="78"/>
    </row>
    <row r="3" spans="2:9" x14ac:dyDescent="0.15">
      <c r="B3" s="232"/>
      <c r="C3" s="232"/>
      <c r="G3" s="78"/>
      <c r="H3" s="78"/>
      <c r="I3" s="78"/>
    </row>
    <row r="4" spans="2:9" ht="15" customHeight="1" x14ac:dyDescent="0.15">
      <c r="B4" s="160" t="s">
        <v>130</v>
      </c>
      <c r="C4" s="160" t="s">
        <v>131</v>
      </c>
      <c r="H4" s="78"/>
      <c r="I4" s="78"/>
    </row>
    <row r="5" spans="2:9" x14ac:dyDescent="0.15">
      <c r="B5" s="169" t="str">
        <f>IF(ISBLANK(Directions!C10), "Owner", Directions!C10)</f>
        <v>Dave Johnson</v>
      </c>
      <c r="C5" s="169" t="str">
        <f>IF(ISBLANK(Directions!D10), "Company 1", Directions!D10)</f>
        <v>Dave's Famous Pretzels</v>
      </c>
      <c r="H5" s="269"/>
      <c r="I5" s="269"/>
    </row>
    <row r="6" spans="2:9" ht="15.75" customHeight="1" x14ac:dyDescent="0.15">
      <c r="B6" s="233"/>
      <c r="C6" s="233"/>
      <c r="H6" s="269"/>
      <c r="I6" s="269"/>
    </row>
    <row r="7" spans="2:9" ht="13" thickBot="1" x14ac:dyDescent="0.2">
      <c r="B7" s="506" t="s">
        <v>305</v>
      </c>
      <c r="C7" s="506"/>
      <c r="F7" s="269"/>
      <c r="G7" s="269"/>
      <c r="H7" s="269"/>
      <c r="I7" s="269"/>
    </row>
    <row r="8" spans="2:9" ht="13" thickTop="1" x14ac:dyDescent="0.15">
      <c r="B8" s="119" t="s">
        <v>117</v>
      </c>
      <c r="C8" s="386" t="s">
        <v>118</v>
      </c>
      <c r="G8" s="78"/>
      <c r="H8" s="78"/>
      <c r="I8" s="78"/>
    </row>
    <row r="9" spans="2:9" x14ac:dyDescent="0.15">
      <c r="B9" s="106" t="s">
        <v>218</v>
      </c>
      <c r="C9" s="239" t="s">
        <v>217</v>
      </c>
      <c r="G9" s="78"/>
      <c r="H9" s="78"/>
      <c r="I9" s="78"/>
    </row>
    <row r="10" spans="2:9" ht="13" x14ac:dyDescent="0.15">
      <c r="B10" s="238" t="s">
        <v>115</v>
      </c>
      <c r="C10" s="234"/>
      <c r="G10" s="78"/>
      <c r="H10" s="78"/>
      <c r="I10" s="78"/>
    </row>
    <row r="11" spans="2:9" ht="13" x14ac:dyDescent="0.15">
      <c r="B11" s="238" t="s">
        <v>112</v>
      </c>
      <c r="C11" s="234"/>
      <c r="G11" s="78"/>
      <c r="H11" s="78"/>
      <c r="I11" s="78"/>
    </row>
    <row r="12" spans="2:9" ht="13" x14ac:dyDescent="0.15">
      <c r="B12" s="238" t="s">
        <v>113</v>
      </c>
      <c r="C12" s="234"/>
      <c r="G12" s="78"/>
      <c r="H12" s="78"/>
      <c r="I12" s="78"/>
    </row>
    <row r="13" spans="2:9" ht="13" x14ac:dyDescent="0.15">
      <c r="B13" s="238" t="s">
        <v>114</v>
      </c>
      <c r="C13" s="234"/>
      <c r="G13" s="78"/>
      <c r="H13" s="78"/>
      <c r="I13" s="78"/>
    </row>
    <row r="14" spans="2:9" ht="13" x14ac:dyDescent="0.15">
      <c r="B14" s="235" t="s">
        <v>103</v>
      </c>
      <c r="C14" s="60">
        <f>SUM(C10:C13)</f>
        <v>0</v>
      </c>
      <c r="G14" s="78"/>
      <c r="H14" s="78"/>
      <c r="I14" s="78"/>
    </row>
    <row r="15" spans="2:9" ht="13" x14ac:dyDescent="0.15">
      <c r="B15" s="238" t="s">
        <v>116</v>
      </c>
      <c r="C15" s="174"/>
      <c r="G15" s="78"/>
      <c r="H15" s="78"/>
      <c r="I15" s="78"/>
    </row>
    <row r="16" spans="2:9" ht="13" x14ac:dyDescent="0.15">
      <c r="B16" s="240" t="s">
        <v>102</v>
      </c>
      <c r="C16" s="36" t="str">
        <f>IF(C15&gt;0,C14/C15,"Please enter all information.")</f>
        <v>Please enter all information.</v>
      </c>
      <c r="G16" s="78"/>
      <c r="H16" s="78"/>
      <c r="I16" s="78"/>
    </row>
    <row r="17" spans="2:9" x14ac:dyDescent="0.15">
      <c r="B17" s="236"/>
      <c r="C17" s="74"/>
      <c r="G17" s="78"/>
      <c r="H17" s="78"/>
      <c r="I17" s="78"/>
    </row>
    <row r="18" spans="2:9" ht="13" thickBot="1" x14ac:dyDescent="0.2">
      <c r="B18" s="506" t="s">
        <v>306</v>
      </c>
      <c r="C18" s="506"/>
      <c r="G18" s="78"/>
      <c r="H18" s="78"/>
      <c r="I18" s="78"/>
    </row>
    <row r="19" spans="2:9" ht="13" thickTop="1" x14ac:dyDescent="0.15">
      <c r="B19" s="119" t="s">
        <v>117</v>
      </c>
      <c r="C19" s="386" t="s">
        <v>118</v>
      </c>
      <c r="G19" s="78"/>
      <c r="H19" s="78"/>
      <c r="I19" s="78"/>
    </row>
    <row r="20" spans="2:9" x14ac:dyDescent="0.15">
      <c r="B20" s="106" t="s">
        <v>218</v>
      </c>
      <c r="C20" s="239" t="s">
        <v>129</v>
      </c>
      <c r="G20" s="78"/>
      <c r="H20" s="78"/>
      <c r="I20" s="78"/>
    </row>
    <row r="21" spans="2:9" ht="13" x14ac:dyDescent="0.15">
      <c r="B21" s="238" t="s">
        <v>219</v>
      </c>
      <c r="C21" s="234"/>
      <c r="G21" s="78"/>
      <c r="H21" s="78"/>
      <c r="I21" s="78"/>
    </row>
    <row r="22" spans="2:9" ht="13" x14ac:dyDescent="0.15">
      <c r="B22" s="238" t="s">
        <v>220</v>
      </c>
      <c r="C22" s="234"/>
      <c r="G22" s="78"/>
      <c r="H22" s="78"/>
      <c r="I22" s="78"/>
    </row>
    <row r="23" spans="2:9" ht="13" x14ac:dyDescent="0.15">
      <c r="B23" s="238" t="s">
        <v>127</v>
      </c>
      <c r="C23" s="234"/>
      <c r="G23" s="78"/>
      <c r="H23" s="78"/>
      <c r="I23" s="78"/>
    </row>
    <row r="24" spans="2:9" ht="13" x14ac:dyDescent="0.15">
      <c r="B24" s="235" t="s">
        <v>104</v>
      </c>
      <c r="C24" s="60">
        <f>SUM(C21:C23)</f>
        <v>0</v>
      </c>
      <c r="G24" s="78"/>
      <c r="H24" s="78"/>
      <c r="I24" s="78"/>
    </row>
    <row r="25" spans="2:9" ht="13" x14ac:dyDescent="0.15">
      <c r="B25" s="238" t="s">
        <v>141</v>
      </c>
      <c r="C25" s="174"/>
      <c r="G25" s="78"/>
      <c r="H25" s="78"/>
      <c r="I25" s="78"/>
    </row>
    <row r="26" spans="2:9" ht="13" x14ac:dyDescent="0.15">
      <c r="B26" s="240" t="s">
        <v>102</v>
      </c>
      <c r="C26" s="36" t="str">
        <f>IF(C25&gt;0,C24/C25,"Please enter all information.")</f>
        <v>Please enter all information.</v>
      </c>
      <c r="G26" s="78"/>
      <c r="H26" s="78"/>
      <c r="I26" s="78"/>
    </row>
    <row r="27" spans="2:9" x14ac:dyDescent="0.15">
      <c r="B27" s="46"/>
      <c r="C27" s="46"/>
      <c r="G27" s="78"/>
      <c r="H27" s="78"/>
      <c r="I27" s="78"/>
    </row>
    <row r="28" spans="2:9" x14ac:dyDescent="0.15">
      <c r="B28" s="46"/>
      <c r="C28" s="46"/>
      <c r="G28" s="78"/>
      <c r="H28" s="78"/>
      <c r="I28" s="78"/>
    </row>
    <row r="29" spans="2:9" x14ac:dyDescent="0.15">
      <c r="B29" s="46"/>
      <c r="C29" s="518" t="s">
        <v>242</v>
      </c>
      <c r="D29" s="518"/>
      <c r="E29" s="518"/>
      <c r="G29" s="78"/>
      <c r="H29" s="78"/>
      <c r="I29" s="78"/>
    </row>
    <row r="30" spans="2:9" x14ac:dyDescent="0.15">
      <c r="C30" s="518"/>
      <c r="D30" s="518"/>
      <c r="E30" s="518"/>
      <c r="G30" s="78"/>
      <c r="H30" s="78"/>
      <c r="I30" s="78"/>
    </row>
    <row r="31" spans="2:9" x14ac:dyDescent="0.15">
      <c r="C31" s="518"/>
      <c r="D31" s="518"/>
      <c r="E31" s="518"/>
      <c r="G31" s="78"/>
      <c r="H31" s="78"/>
      <c r="I31" s="78"/>
    </row>
    <row r="32" spans="2:9" x14ac:dyDescent="0.15">
      <c r="G32" s="78"/>
      <c r="H32" s="78"/>
      <c r="I32" s="78"/>
    </row>
    <row r="33" s="78" customFormat="1" x14ac:dyDescent="0.15"/>
    <row r="34" s="78" customFormat="1" x14ac:dyDescent="0.15"/>
    <row r="35" s="78" customFormat="1" x14ac:dyDescent="0.15"/>
    <row r="36" s="78" customFormat="1" x14ac:dyDescent="0.15"/>
    <row r="37" s="78" customFormat="1" x14ac:dyDescent="0.15"/>
    <row r="38" s="78" customFormat="1" x14ac:dyDescent="0.15"/>
    <row r="39" s="78" customFormat="1" x14ac:dyDescent="0.15"/>
    <row r="40" s="78" customFormat="1" x14ac:dyDescent="0.15"/>
    <row r="41" s="78" customFormat="1" x14ac:dyDescent="0.15"/>
    <row r="42" s="78" customFormat="1" x14ac:dyDescent="0.15"/>
    <row r="43" s="78" customFormat="1" x14ac:dyDescent="0.15"/>
    <row r="44" s="78" customFormat="1" x14ac:dyDescent="0.15"/>
    <row r="45" s="78" customFormat="1" x14ac:dyDescent="0.15"/>
    <row r="46" s="78" customFormat="1" x14ac:dyDescent="0.15"/>
  </sheetData>
  <sheetProtection password="CC3D" sheet="1" objects="1" scenarios="1" formatColumns="0" formatRows="0"/>
  <mergeCells count="3">
    <mergeCell ref="B7:C7"/>
    <mergeCell ref="B18:C18"/>
    <mergeCell ref="C29:E31"/>
  </mergeCells>
  <phoneticPr fontId="3" type="noConversion"/>
  <conditionalFormatting sqref="C10:C13 C15 C21:C23">
    <cfRule type="containsBlanks" dxfId="1" priority="8" stopIfTrue="1">
      <formula>LEN(TRIM(C10))=0</formula>
    </cfRule>
  </conditionalFormatting>
  <conditionalFormatting sqref="C25">
    <cfRule type="containsBlanks" dxfId="0" priority="7" stopIfTrue="1">
      <formula>LEN(TRIM(C25))=0</formula>
    </cfRule>
  </conditionalFormatting>
  <hyperlinks>
    <hyperlink ref="C29:E31" location="'3a-SalesForecastYear1'!A1" display="Return to Sales Forecast Year 1" xr:uid="{00000000-0004-0000-1100-000000000000}"/>
  </hyperlinks>
  <printOptions horizontalCentered="1"/>
  <pageMargins left="0.25" right="0.25" top="0.75" bottom="0.75" header="0.3" footer="0.3"/>
  <pageSetup orientation="landscape" r:id="rId1"/>
  <headerFooter scaleWithDoc="0">
    <oddHeader>&amp;C&amp;"Gill Sans MT,Regular"&amp;12COGS Calculator</oddHeader>
    <oddFooter>&amp;L&amp;"Gill Sans MT,Regular"&amp;12&amp;F&amp;C&amp;"Gill Sans MT,Regular"&amp;12&amp;A&amp;R&amp;"Gill Sans MT,Regular"&amp;12 &amp;D &amp;T</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tabColor rgb="FF339966"/>
    <pageSetUpPr autoPageBreaks="0"/>
  </sheetPr>
  <dimension ref="B2:Q159"/>
  <sheetViews>
    <sheetView zoomScale="163" zoomScaleNormal="100" zoomScaleSheetLayoutView="40" zoomScalePageLayoutView="70" workbookViewId="0">
      <selection activeCell="H128" sqref="H128"/>
    </sheetView>
  </sheetViews>
  <sheetFormatPr baseColWidth="10" defaultColWidth="9.1640625" defaultRowHeight="12" x14ac:dyDescent="0.15"/>
  <cols>
    <col min="1" max="1" width="9.1640625" style="46"/>
    <col min="2" max="2" width="27.6640625" style="46" bestFit="1" customWidth="1"/>
    <col min="3" max="3" width="17.5" style="46" bestFit="1" customWidth="1"/>
    <col min="4" max="10" width="9.6640625" style="46" customWidth="1"/>
    <col min="11" max="11" width="10.5" style="46" bestFit="1" customWidth="1"/>
    <col min="12" max="14" width="9.6640625" style="46" customWidth="1"/>
    <col min="15" max="15" width="9.33203125" style="46" customWidth="1"/>
    <col min="16" max="16384" width="9.1640625" style="46"/>
  </cols>
  <sheetData>
    <row r="2" spans="2:17" x14ac:dyDescent="0.15">
      <c r="B2" s="514" t="s">
        <v>244</v>
      </c>
      <c r="C2" s="514"/>
      <c r="D2" s="514"/>
      <c r="E2" s="514"/>
    </row>
    <row r="3" spans="2:17" x14ac:dyDescent="0.15">
      <c r="B3" s="241"/>
    </row>
    <row r="4" spans="2:17" x14ac:dyDescent="0.15">
      <c r="B4" s="160" t="s">
        <v>130</v>
      </c>
      <c r="C4" s="160" t="s">
        <v>131</v>
      </c>
      <c r="E4" s="519" t="s">
        <v>243</v>
      </c>
      <c r="F4" s="519"/>
      <c r="G4" s="519"/>
    </row>
    <row r="5" spans="2:17" x14ac:dyDescent="0.15">
      <c r="B5" s="169" t="str">
        <f>IF(ISBLANK(Directions!C10), "Owner", Directions!C10)</f>
        <v>Dave Johnson</v>
      </c>
      <c r="C5" s="169" t="str">
        <f>IF(ISBLANK(Directions!D10), "Company 1", Directions!D10)</f>
        <v>Dave's Famous Pretzels</v>
      </c>
      <c r="E5" s="519"/>
      <c r="F5" s="519"/>
      <c r="G5" s="519"/>
    </row>
    <row r="6" spans="2:17" x14ac:dyDescent="0.15">
      <c r="E6" s="519"/>
      <c r="F6" s="519"/>
      <c r="G6" s="519"/>
    </row>
    <row r="8" spans="2:17" ht="13" thickBot="1" x14ac:dyDescent="0.2">
      <c r="B8" s="506" t="s">
        <v>54</v>
      </c>
      <c r="C8" s="506"/>
      <c r="D8" s="5"/>
      <c r="E8" s="5"/>
      <c r="F8" s="5"/>
      <c r="G8" s="5"/>
      <c r="H8" s="5"/>
      <c r="I8" s="5"/>
      <c r="J8" s="5"/>
      <c r="K8" s="5"/>
      <c r="L8" s="5"/>
      <c r="M8" s="5"/>
      <c r="N8" s="5"/>
      <c r="O8" s="5"/>
      <c r="P8" s="5"/>
    </row>
    <row r="9" spans="2:17" ht="13" thickTop="1" x14ac:dyDescent="0.15">
      <c r="B9" s="150" t="s">
        <v>161</v>
      </c>
      <c r="C9" s="387">
        <f>CommLoan</f>
        <v>113000</v>
      </c>
      <c r="D9" s="5"/>
      <c r="E9" s="5"/>
      <c r="F9" s="5"/>
      <c r="G9" s="5"/>
      <c r="H9" s="5"/>
      <c r="I9" s="5"/>
      <c r="J9" s="5"/>
      <c r="K9" s="5"/>
      <c r="L9" s="5"/>
      <c r="M9" s="5"/>
      <c r="N9" s="5"/>
      <c r="O9" s="5"/>
      <c r="P9" s="5"/>
    </row>
    <row r="10" spans="2:17" x14ac:dyDescent="0.15">
      <c r="B10" s="26" t="s">
        <v>162</v>
      </c>
      <c r="C10" s="29">
        <f>'1-StartingPoint'!E37</f>
        <v>0.105</v>
      </c>
      <c r="D10" s="5"/>
      <c r="E10" s="5"/>
      <c r="F10" s="5"/>
      <c r="G10" s="5"/>
      <c r="H10" s="5"/>
      <c r="I10" s="5"/>
      <c r="J10" s="5"/>
      <c r="K10" s="5"/>
      <c r="L10" s="5"/>
      <c r="M10" s="5"/>
      <c r="N10" s="5"/>
      <c r="O10" s="5"/>
      <c r="P10" s="5"/>
    </row>
    <row r="11" spans="2:17" x14ac:dyDescent="0.15">
      <c r="B11" s="26" t="s">
        <v>163</v>
      </c>
      <c r="C11" s="27">
        <f>'1-StartingPoint'!F37</f>
        <v>84</v>
      </c>
      <c r="D11" s="5"/>
      <c r="E11" s="5"/>
      <c r="F11" s="5"/>
      <c r="G11" s="5"/>
      <c r="H11" s="5"/>
      <c r="I11" s="5"/>
      <c r="J11" s="5"/>
      <c r="K11" s="5"/>
      <c r="L11" s="5"/>
      <c r="M11" s="5"/>
      <c r="N11" s="5"/>
      <c r="O11" s="5"/>
      <c r="P11" s="5"/>
    </row>
    <row r="12" spans="2:17" x14ac:dyDescent="0.15">
      <c r="B12" s="26" t="s">
        <v>164</v>
      </c>
      <c r="C12" s="28">
        <f>ABS(PMT(C10/12,C11,C9))</f>
        <v>1905.2560658052059</v>
      </c>
      <c r="D12" s="5"/>
      <c r="E12" s="5"/>
      <c r="F12" s="5"/>
      <c r="G12" s="5"/>
      <c r="H12" s="5"/>
      <c r="I12" s="5"/>
      <c r="J12" s="5"/>
      <c r="K12" s="5"/>
      <c r="L12" s="5"/>
      <c r="M12" s="5"/>
      <c r="N12" s="5"/>
      <c r="O12" s="5"/>
      <c r="P12" s="5"/>
    </row>
    <row r="13" spans="2:17" x14ac:dyDescent="0.15">
      <c r="B13" s="26"/>
      <c r="C13" s="43" t="str">
        <f>'3a-SalesForecastYear1'!$C$16</f>
        <v>January</v>
      </c>
      <c r="D13" s="43" t="str">
        <f>'3a-SalesForecastYear1'!$D$16</f>
        <v>February</v>
      </c>
      <c r="E13" s="43" t="str">
        <f>'3a-SalesForecastYear1'!$E$16</f>
        <v>March</v>
      </c>
      <c r="F13" s="43" t="str">
        <f>'3a-SalesForecastYear1'!$F$16</f>
        <v>April</v>
      </c>
      <c r="G13" s="43" t="str">
        <f>'3a-SalesForecastYear1'!$G$16</f>
        <v>May</v>
      </c>
      <c r="H13" s="43" t="str">
        <f>'3a-SalesForecastYear1'!$H$16</f>
        <v>June</v>
      </c>
      <c r="I13" s="43" t="str">
        <f>'3a-SalesForecastYear1'!$I$16</f>
        <v>July</v>
      </c>
      <c r="J13" s="43" t="str">
        <f>'3a-SalesForecastYear1'!$J$16</f>
        <v>August</v>
      </c>
      <c r="K13" s="43" t="str">
        <f>'3a-SalesForecastYear1'!$K$16</f>
        <v>September</v>
      </c>
      <c r="L13" s="43" t="str">
        <f>'3a-SalesForecastYear1'!$L$16</f>
        <v>October</v>
      </c>
      <c r="M13" s="43" t="str">
        <f>'3a-SalesForecastYear1'!$M$16</f>
        <v>November</v>
      </c>
      <c r="N13" s="43" t="str">
        <f>'3a-SalesForecastYear1'!$N$16</f>
        <v>December</v>
      </c>
      <c r="O13" s="43" t="s">
        <v>8</v>
      </c>
      <c r="P13" s="5"/>
      <c r="Q13" s="5"/>
    </row>
    <row r="14" spans="2:17" x14ac:dyDescent="0.15">
      <c r="B14" s="26" t="s">
        <v>165</v>
      </c>
      <c r="C14" s="7"/>
      <c r="D14" s="7"/>
      <c r="E14" s="7"/>
      <c r="F14" s="7"/>
      <c r="G14" s="7"/>
      <c r="H14" s="7"/>
      <c r="I14" s="7"/>
      <c r="J14" s="7"/>
      <c r="K14" s="7"/>
      <c r="L14" s="7"/>
      <c r="M14" s="7"/>
      <c r="N14" s="7"/>
      <c r="O14" s="7"/>
      <c r="P14" s="5"/>
      <c r="Q14" s="5"/>
    </row>
    <row r="15" spans="2:17" x14ac:dyDescent="0.15">
      <c r="B15" s="44" t="s">
        <v>58</v>
      </c>
      <c r="C15" s="41">
        <f>IF($C$11&lt;1,0,ABS(IPMT($C$10/12,1,$C$11,$C$9)))</f>
        <v>988.74999999999989</v>
      </c>
      <c r="D15" s="41">
        <f>IF($C$11&lt;2,0,ABS(IPMT($C$10/12,2,$C$11,$C$9)))</f>
        <v>980.73057192420436</v>
      </c>
      <c r="E15" s="41">
        <f>IF($C$11&lt;3,0,ABS(IPMT($C$10/12,3,$C$11,$C$9)))</f>
        <v>972.64097385274533</v>
      </c>
      <c r="F15" s="41">
        <f>IF($C$11&lt;4,0,ABS(IPMT($C$10/12,4,$C$11,$C$9)))</f>
        <v>964.48059179816175</v>
      </c>
      <c r="G15" s="41">
        <f>IF($C$11&lt;5,0,ABS(IPMT($C$10/12,5,$C$11,$C$9)))</f>
        <v>956.24880640059996</v>
      </c>
      <c r="H15" s="41">
        <f>IF($C$11&lt;6,0,ABS(IPMT($C$10/12,6,$C$11,$C$9)))</f>
        <v>947.94499288080965</v>
      </c>
      <c r="I15" s="41">
        <f>IF($C$11&lt;7,0,ABS(IPMT($C$10/12,7,$C$11,$C$9)))</f>
        <v>939.56852099272123</v>
      </c>
      <c r="J15" s="41">
        <f>IF($C$11&lt;8,0,ABS(IPMT($C$10/12,8,$C$11,$C$9)))</f>
        <v>931.11875497561198</v>
      </c>
      <c r="K15" s="41">
        <f>IF($C$11&lt;9,0,ABS(IPMT($C$10/12,9,$C$11,$C$9)))</f>
        <v>922.59505350585277</v>
      </c>
      <c r="L15" s="41">
        <f>IF($C$11&lt;10,0,ABS(IPMT($C$10/12,10,$C$11,$C$9)))</f>
        <v>913.99676964823357</v>
      </c>
      <c r="M15" s="41">
        <f>IF($C$11&lt;11,0,ABS(IPMT($C$10/12,11,$C$11,$C$9)))</f>
        <v>905.32325080685985</v>
      </c>
      <c r="N15" s="41">
        <f>IF($C$11&lt;12,0,ABS(IPMT($C$10/12,12,$C$11,$C$9)))</f>
        <v>896.57383867562476</v>
      </c>
      <c r="O15" s="315">
        <f>SUM(C15:N15)</f>
        <v>11319.972125461427</v>
      </c>
      <c r="P15" s="5"/>
      <c r="Q15" s="5"/>
    </row>
    <row r="16" spans="2:17" x14ac:dyDescent="0.15">
      <c r="B16" s="44" t="s">
        <v>166</v>
      </c>
      <c r="C16" s="41">
        <f>IF($C$11&lt;1,0,ABS(PPMT($C$10/12,1,$C$11,$C$9)))</f>
        <v>916.50606580520605</v>
      </c>
      <c r="D16" s="41">
        <f>IF($C$11&lt;2,0,ABS(PPMT($C$10/12,2,$C$11,$C$9)))</f>
        <v>924.52549388100169</v>
      </c>
      <c r="E16" s="41">
        <f>IF($C$11&lt;3,0,ABS(PPMT($C$10/12,3,$C$11,$C$9)))</f>
        <v>932.61509195246049</v>
      </c>
      <c r="F16" s="41">
        <f>IF($C$11&lt;4,0,ABS(PPMT($C$10/12,4,$C$11,$C$9)))</f>
        <v>940.77547400704452</v>
      </c>
      <c r="G16" s="41">
        <f>IF($C$11&lt;5,0,ABS(PPMT($C$10/12,5,$C$11,$C$9)))</f>
        <v>949.00725940460597</v>
      </c>
      <c r="H16" s="41">
        <f>IF($C$11&lt;6,0,ABS(PPMT($C$10/12,6,$C$11,$C$9)))</f>
        <v>957.31107292439629</v>
      </c>
      <c r="I16" s="41">
        <f>IF($C$11&lt;7,0,ABS(PPMT($C$10/12,7,$C$11,$C$9)))</f>
        <v>965.68754481248482</v>
      </c>
      <c r="J16" s="41">
        <f>IF($C$11&lt;8,0,ABS(PPMT($C$10/12,8,$C$11,$C$9)))</f>
        <v>974.13731082959407</v>
      </c>
      <c r="K16" s="41">
        <f>IF($C$11&lt;9,0,ABS(PPMT($C$10/12,9,$C$11,$C$9)))</f>
        <v>982.66101229935305</v>
      </c>
      <c r="L16" s="41">
        <f>IF($C$11&lt;10,0,ABS(PPMT($C$10/12,10,$C$11,$C$9)))</f>
        <v>991.25929615697237</v>
      </c>
      <c r="M16" s="41">
        <f>IF($C$11&lt;11,0,ABS(PPMT($C$10/12,11,$C$11,$C$9)))</f>
        <v>999.93281499834598</v>
      </c>
      <c r="N16" s="41">
        <f>IF($C$11&lt;12,0,ABS(PPMT($C$10/12,12,$C$11,$C$9)))</f>
        <v>1008.6822271295814</v>
      </c>
      <c r="O16" s="315">
        <f>SUM(C16:N16)</f>
        <v>11543.100664201047</v>
      </c>
      <c r="P16" s="5"/>
      <c r="Q16" s="5"/>
    </row>
    <row r="17" spans="2:17" x14ac:dyDescent="0.15">
      <c r="B17" s="44" t="s">
        <v>167</v>
      </c>
      <c r="C17" s="42">
        <f>$C$9-C16</f>
        <v>112083.49393419479</v>
      </c>
      <c r="D17" s="42">
        <f>C17-D16</f>
        <v>111158.96844031379</v>
      </c>
      <c r="E17" s="42">
        <f t="shared" ref="E17:N17" si="0">D17-E16</f>
        <v>110226.35334836133</v>
      </c>
      <c r="F17" s="42">
        <f t="shared" si="0"/>
        <v>109285.57787435429</v>
      </c>
      <c r="G17" s="42">
        <f t="shared" si="0"/>
        <v>108336.57061494968</v>
      </c>
      <c r="H17" s="42">
        <f t="shared" si="0"/>
        <v>107379.25954202529</v>
      </c>
      <c r="I17" s="42">
        <f t="shared" si="0"/>
        <v>106413.5719972128</v>
      </c>
      <c r="J17" s="42">
        <f t="shared" si="0"/>
        <v>105439.4346863832</v>
      </c>
      <c r="K17" s="42">
        <f t="shared" si="0"/>
        <v>104456.77367408384</v>
      </c>
      <c r="L17" s="42">
        <f t="shared" si="0"/>
        <v>103465.51437792687</v>
      </c>
      <c r="M17" s="42">
        <f t="shared" si="0"/>
        <v>102465.58156292852</v>
      </c>
      <c r="N17" s="42">
        <f t="shared" si="0"/>
        <v>101456.89933579894</v>
      </c>
      <c r="O17" s="37"/>
      <c r="P17" s="5"/>
      <c r="Q17" s="5"/>
    </row>
    <row r="18" spans="2:17" x14ac:dyDescent="0.15">
      <c r="B18" s="26" t="s">
        <v>168</v>
      </c>
      <c r="C18" s="38"/>
      <c r="D18" s="38"/>
      <c r="E18" s="38"/>
      <c r="F18" s="38"/>
      <c r="G18" s="38"/>
      <c r="H18" s="38"/>
      <c r="I18" s="38"/>
      <c r="J18" s="38"/>
      <c r="K18" s="38"/>
      <c r="L18" s="38"/>
      <c r="M18" s="38"/>
      <c r="N18" s="38"/>
      <c r="O18" s="38"/>
      <c r="P18" s="5"/>
      <c r="Q18" s="5"/>
    </row>
    <row r="19" spans="2:17" x14ac:dyDescent="0.15">
      <c r="B19" s="44" t="s">
        <v>58</v>
      </c>
      <c r="C19" s="41">
        <f>IF($C$11&lt;13,0,ABS(IPMT($C$10/12,13,$C$11,$C$9)))</f>
        <v>887.74786918824077</v>
      </c>
      <c r="D19" s="41">
        <f>IF($C$11&lt;14,0,ABS(IPMT($C$10/12,14,$C$11,$C$9)))</f>
        <v>878.84467246784232</v>
      </c>
      <c r="E19" s="41">
        <f>IF($C$11&lt;15,0,ABS(IPMT($C$10/12,15,$C$11,$C$9)))</f>
        <v>869.86357277614024</v>
      </c>
      <c r="F19" s="41">
        <f>IF($C$11&lt;16,0,ABS(IPMT($C$10/12,16,$C$11,$C$9)))</f>
        <v>860.80388846213577</v>
      </c>
      <c r="G19" s="41">
        <f>IF($C$11&lt;17,0,ABS(IPMT($C$10/12,17,$C$11,$C$9)))</f>
        <v>851.6649319103841</v>
      </c>
      <c r="H19" s="41">
        <f>IF($C$11&lt;18,0,ABS(IPMT($C$10/12,18,$C$11,$C$9)))</f>
        <v>842.44600948880452</v>
      </c>
      <c r="I19" s="41">
        <f>IF($C$11&lt;19,0,ABS(IPMT($C$10/12,19,$C$11,$C$9)))</f>
        <v>833.14642149603606</v>
      </c>
      <c r="J19" s="41">
        <f>IF($C$11&lt;20,0,ABS(IPMT($C$10/12,20,$C$11,$C$9)))</f>
        <v>823.76546210833078</v>
      </c>
      <c r="K19" s="41">
        <f>IF($C$11&lt;21,0,ABS(IPMT($C$10/12,21,$C$11,$C$9)))</f>
        <v>814.30241932598312</v>
      </c>
      <c r="L19" s="41">
        <f>IF($C$11&lt;22,0,ABS(IPMT($C$10/12,22,$C$11,$C$9)))</f>
        <v>804.75657491928973</v>
      </c>
      <c r="M19" s="41">
        <f>IF($C$11&lt;23,0,ABS(IPMT($C$10/12,23,$C$11,$C$9)))</f>
        <v>795.12720437403812</v>
      </c>
      <c r="N19" s="41">
        <f>IF($C$11&lt;24,0,ABS(IPMT($C$10/12,24,$C$11,$C$9)))</f>
        <v>785.4135768365154</v>
      </c>
      <c r="O19" s="315">
        <f>SUM(C19:N19)</f>
        <v>10047.882603353741</v>
      </c>
      <c r="P19" s="5"/>
      <c r="Q19" s="5"/>
    </row>
    <row r="20" spans="2:17" x14ac:dyDescent="0.15">
      <c r="B20" s="44" t="s">
        <v>166</v>
      </c>
      <c r="C20" s="41">
        <f>IF($C$11&lt;13,0,ABS(PPMT($C$10/12,13,$C$11,$C$9)))</f>
        <v>1017.5081966169652</v>
      </c>
      <c r="D20" s="41">
        <f>IF($C$11&lt;14,0,ABS(PPMT($C$10/12,14,$C$11,$C$9)))</f>
        <v>1026.4113933373637</v>
      </c>
      <c r="E20" s="41">
        <f>IF($C$11&lt;15,0,ABS(PPMT($C$10/12,15,$C$11,$C$9)))</f>
        <v>1035.3924930290655</v>
      </c>
      <c r="F20" s="41">
        <f>IF($C$11&lt;16,0,ABS(PPMT($C$10/12,16,$C$11,$C$9)))</f>
        <v>1044.4521773430699</v>
      </c>
      <c r="G20" s="41">
        <f>IF($C$11&lt;17,0,ABS(PPMT($C$10/12,17,$C$11,$C$9)))</f>
        <v>1053.5911338948217</v>
      </c>
      <c r="H20" s="41">
        <f>IF($C$11&lt;18,0,ABS(PPMT($C$10/12,18,$C$11,$C$9)))</f>
        <v>1062.8100563164014</v>
      </c>
      <c r="I20" s="41">
        <f>IF($C$11&lt;19,0,ABS(PPMT($C$10/12,19,$C$11,$C$9)))</f>
        <v>1072.1096443091701</v>
      </c>
      <c r="J20" s="41">
        <f>IF($C$11&lt;20,0,ABS(PPMT($C$10/12,20,$C$11,$C$9)))</f>
        <v>1081.490603696875</v>
      </c>
      <c r="K20" s="41">
        <f>IF($C$11&lt;21,0,ABS(PPMT($C$10/12,21,$C$11,$C$9)))</f>
        <v>1090.9536464792229</v>
      </c>
      <c r="L20" s="41">
        <f>IF($C$11&lt;22,0,ABS(PPMT($C$10/12,22,$C$11,$C$9)))</f>
        <v>1100.4994908859162</v>
      </c>
      <c r="M20" s="41">
        <f>IF($C$11&lt;23,0,ABS(PPMT($C$10/12,23,$C$11,$C$9)))</f>
        <v>1110.1288614311679</v>
      </c>
      <c r="N20" s="41">
        <f>IF($C$11&lt;24,0,ABS(PPMT($C$10/12,24,$C$11,$C$9)))</f>
        <v>1119.8424889686905</v>
      </c>
      <c r="O20" s="315">
        <f>SUM(C20:N20)</f>
        <v>12815.19018630873</v>
      </c>
      <c r="P20" s="5"/>
      <c r="Q20" s="5"/>
    </row>
    <row r="21" spans="2:17" x14ac:dyDescent="0.15">
      <c r="B21" s="44" t="s">
        <v>167</v>
      </c>
      <c r="C21" s="42">
        <f>N17-C20</f>
        <v>100439.39113918197</v>
      </c>
      <c r="D21" s="42">
        <f>C21-D20</f>
        <v>99412.979745844612</v>
      </c>
      <c r="E21" s="42">
        <f t="shared" ref="E21:N21" si="1">D21-E20</f>
        <v>98377.587252815545</v>
      </c>
      <c r="F21" s="42">
        <f t="shared" si="1"/>
        <v>97333.13507547247</v>
      </c>
      <c r="G21" s="42">
        <f t="shared" si="1"/>
        <v>96279.543941577649</v>
      </c>
      <c r="H21" s="42">
        <f t="shared" si="1"/>
        <v>95216.733885261245</v>
      </c>
      <c r="I21" s="42">
        <f t="shared" si="1"/>
        <v>94144.624240952078</v>
      </c>
      <c r="J21" s="42">
        <f t="shared" si="1"/>
        <v>93063.133637255203</v>
      </c>
      <c r="K21" s="42">
        <f t="shared" si="1"/>
        <v>91972.179990775985</v>
      </c>
      <c r="L21" s="42">
        <f t="shared" si="1"/>
        <v>90871.680499890062</v>
      </c>
      <c r="M21" s="42">
        <f t="shared" si="1"/>
        <v>89761.551638458899</v>
      </c>
      <c r="N21" s="42">
        <f t="shared" si="1"/>
        <v>88641.709149490212</v>
      </c>
      <c r="O21" s="37"/>
      <c r="P21" s="5"/>
      <c r="Q21" s="5"/>
    </row>
    <row r="22" spans="2:17" x14ac:dyDescent="0.15">
      <c r="B22" s="26" t="s">
        <v>169</v>
      </c>
      <c r="C22" s="38"/>
      <c r="D22" s="38"/>
      <c r="E22" s="38"/>
      <c r="F22" s="38"/>
      <c r="G22" s="38"/>
      <c r="H22" s="38"/>
      <c r="I22" s="38"/>
      <c r="J22" s="38"/>
      <c r="K22" s="38"/>
      <c r="L22" s="38"/>
      <c r="M22" s="38"/>
      <c r="N22" s="38"/>
      <c r="O22" s="38"/>
      <c r="P22" s="5"/>
      <c r="Q22" s="5"/>
    </row>
    <row r="23" spans="2:17" x14ac:dyDescent="0.15">
      <c r="B23" s="44" t="s">
        <v>58</v>
      </c>
      <c r="C23" s="41">
        <f>IF($C$11&lt;25,0,ABS(IPMT($C$10/12,25,$C$11,$C$9)))</f>
        <v>775.61495505803941</v>
      </c>
      <c r="D23" s="41">
        <f>IF($C$11&lt;26,0,ABS(IPMT($C$10/12,26,$C$11,$C$9)))</f>
        <v>765.73059533900164</v>
      </c>
      <c r="E23" s="41">
        <f>IF($C$11&lt;27,0,ABS(IPMT($C$10/12,27,$C$11,$C$9)))</f>
        <v>755.75974747242253</v>
      </c>
      <c r="F23" s="41">
        <f>IF($C$11&lt;28,0,ABS(IPMT($C$10/12,28,$C$11,$C$9)))</f>
        <v>745.70165468701043</v>
      </c>
      <c r="G23" s="41">
        <f>IF($C$11&lt;29,0,ABS(IPMT($C$10/12,29,$C$11,$C$9)))</f>
        <v>735.55555358972629</v>
      </c>
      <c r="H23" s="41">
        <f>IF($C$11&lt;30,0,ABS(IPMT($C$10/12,30,$C$11,$C$9)))</f>
        <v>725.32067410784077</v>
      </c>
      <c r="I23" s="41">
        <f>IF($C$11&lt;31,0,ABS(IPMT($C$10/12,31,$C$11,$C$9)))</f>
        <v>714.99623943048903</v>
      </c>
      <c r="J23" s="41">
        <f>IF($C$11&lt;32,0,ABS(IPMT($C$10/12,32,$C$11,$C$9)))</f>
        <v>704.58146594971015</v>
      </c>
      <c r="K23" s="41">
        <f>IF($C$11&lt;33,0,ABS(IPMT($C$10/12,33,$C$11,$C$9)))</f>
        <v>694.07556320097444</v>
      </c>
      <c r="L23" s="41">
        <f>IF($C$11&lt;34,0,ABS(IPMT($C$10/12,34,$C$11,$C$9)))</f>
        <v>683.47773380318745</v>
      </c>
      <c r="M23" s="41">
        <f>IF($C$11&lt;35,0,ABS(IPMT($C$10/12,35,$C$11,$C$9)))</f>
        <v>672.7871733981699</v>
      </c>
      <c r="N23" s="41">
        <f>IF($C$11&lt;36,0,ABS(IPMT($C$10/12,36,$C$11,$C$9)))</f>
        <v>662.00307058960834</v>
      </c>
      <c r="O23" s="315">
        <f>SUM(C23:N23)</f>
        <v>8635.6044266261797</v>
      </c>
      <c r="P23" s="5"/>
      <c r="Q23" s="5"/>
    </row>
    <row r="24" spans="2:17" x14ac:dyDescent="0.15">
      <c r="B24" s="44" t="s">
        <v>166</v>
      </c>
      <c r="C24" s="41">
        <f>IF($C$11&lt;25,0,ABS(PPMT($C$10/12,25,$C$11,$C$9)))</f>
        <v>1129.6411107471665</v>
      </c>
      <c r="D24" s="41">
        <f>IF($C$11&lt;26,0,ABS(PPMT($C$10/12,26,$C$11,$C$9)))</f>
        <v>1139.5254704662041</v>
      </c>
      <c r="E24" s="41">
        <f>IF($C$11&lt;27,0,ABS(PPMT($C$10/12,27,$C$11,$C$9)))</f>
        <v>1149.4963183327836</v>
      </c>
      <c r="F24" s="41">
        <f>IF($C$11&lt;28,0,ABS(PPMT($C$10/12,28,$C$11,$C$9)))</f>
        <v>1159.5544111181953</v>
      </c>
      <c r="G24" s="41">
        <f>IF($C$11&lt;29,0,ABS(PPMT($C$10/12,29,$C$11,$C$9)))</f>
        <v>1169.7005122154796</v>
      </c>
      <c r="H24" s="41">
        <f>IF($C$11&lt;30,0,ABS(PPMT($C$10/12,30,$C$11,$C$9)))</f>
        <v>1179.935391697365</v>
      </c>
      <c r="I24" s="41">
        <f>IF($C$11&lt;31,0,ABS(PPMT($C$10/12,31,$C$11,$C$9)))</f>
        <v>1190.2598263747172</v>
      </c>
      <c r="J24" s="41">
        <f>IF($C$11&lt;32,0,ABS(PPMT($C$10/12,32,$C$11,$C$9)))</f>
        <v>1200.6745998554959</v>
      </c>
      <c r="K24" s="41">
        <f>IF($C$11&lt;33,0,ABS(PPMT($C$10/12,33,$C$11,$C$9)))</f>
        <v>1211.1805026042316</v>
      </c>
      <c r="L24" s="41">
        <f>IF($C$11&lt;34,0,ABS(PPMT($C$10/12,34,$C$11,$C$9)))</f>
        <v>1221.7783320020185</v>
      </c>
      <c r="M24" s="41">
        <f>IF($C$11&lt;35,0,ABS(PPMT($C$10/12,35,$C$11,$C$9)))</f>
        <v>1232.4688924070363</v>
      </c>
      <c r="N24" s="41">
        <f>IF($C$11&lt;36,0,ABS(PPMT($C$10/12,36,$C$11,$C$9)))</f>
        <v>1243.2529952155976</v>
      </c>
      <c r="O24" s="315">
        <f>SUM(C24:N24)</f>
        <v>14227.468363036292</v>
      </c>
      <c r="P24" s="5"/>
      <c r="Q24" s="5"/>
    </row>
    <row r="25" spans="2:17" x14ac:dyDescent="0.15">
      <c r="B25" s="44" t="s">
        <v>167</v>
      </c>
      <c r="C25" s="42">
        <f>N21-C24</f>
        <v>87512.068038743048</v>
      </c>
      <c r="D25" s="42">
        <f>C25-D24</f>
        <v>86372.54256827684</v>
      </c>
      <c r="E25" s="42">
        <f t="shared" ref="E25:N25" si="2">D25-E24</f>
        <v>85223.046249944062</v>
      </c>
      <c r="F25" s="42">
        <f t="shared" si="2"/>
        <v>84063.491838825867</v>
      </c>
      <c r="G25" s="42">
        <f t="shared" si="2"/>
        <v>82893.791326610386</v>
      </c>
      <c r="H25" s="42">
        <f t="shared" si="2"/>
        <v>81713.855934913023</v>
      </c>
      <c r="I25" s="42">
        <f t="shared" si="2"/>
        <v>80523.596108538302</v>
      </c>
      <c r="J25" s="42">
        <f t="shared" si="2"/>
        <v>79322.921508682804</v>
      </c>
      <c r="K25" s="42">
        <f t="shared" si="2"/>
        <v>78111.741006078577</v>
      </c>
      <c r="L25" s="42">
        <f t="shared" si="2"/>
        <v>76889.962674076553</v>
      </c>
      <c r="M25" s="42">
        <f t="shared" si="2"/>
        <v>75657.493781669516</v>
      </c>
      <c r="N25" s="42">
        <f t="shared" si="2"/>
        <v>74414.240786453913</v>
      </c>
      <c r="O25" s="37"/>
      <c r="P25" s="5"/>
      <c r="Q25" s="5"/>
    </row>
    <row r="26" spans="2:17" x14ac:dyDescent="0.15">
      <c r="B26" s="9"/>
      <c r="C26" s="9"/>
      <c r="D26" s="5"/>
      <c r="E26" s="5"/>
      <c r="F26" s="5"/>
      <c r="G26" s="5"/>
      <c r="H26" s="5"/>
      <c r="I26" s="5"/>
      <c r="J26" s="5"/>
      <c r="K26" s="5"/>
      <c r="L26" s="5"/>
      <c r="M26" s="5"/>
      <c r="N26" s="5"/>
      <c r="O26" s="5"/>
      <c r="P26" s="5"/>
      <c r="Q26" s="5"/>
    </row>
    <row r="27" spans="2:17" x14ac:dyDescent="0.15">
      <c r="B27" s="9"/>
      <c r="C27" s="9"/>
      <c r="D27" s="39"/>
      <c r="E27" s="5"/>
      <c r="F27" s="5"/>
      <c r="G27" s="5"/>
      <c r="H27" s="5"/>
      <c r="I27" s="5"/>
      <c r="J27" s="5"/>
      <c r="K27" s="5"/>
      <c r="L27" s="5"/>
      <c r="M27" s="5"/>
      <c r="N27" s="5"/>
      <c r="O27" s="5"/>
      <c r="P27" s="5"/>
      <c r="Q27" s="5"/>
    </row>
    <row r="28" spans="2:17" ht="13" thickBot="1" x14ac:dyDescent="0.2">
      <c r="B28" s="506" t="s">
        <v>55</v>
      </c>
      <c r="C28" s="506"/>
      <c r="D28" s="5"/>
      <c r="E28" s="5"/>
      <c r="F28" s="5"/>
      <c r="G28" s="5"/>
      <c r="H28" s="5"/>
      <c r="I28" s="5"/>
      <c r="J28" s="5"/>
      <c r="K28" s="5"/>
      <c r="L28" s="5"/>
      <c r="M28" s="5"/>
      <c r="N28" s="5"/>
      <c r="O28" s="5"/>
      <c r="P28" s="5"/>
      <c r="Q28" s="5"/>
    </row>
    <row r="29" spans="2:17" ht="13" thickTop="1" x14ac:dyDescent="0.15">
      <c r="B29" s="150" t="s">
        <v>161</v>
      </c>
      <c r="C29" s="388">
        <f>CommMortgage</f>
        <v>0</v>
      </c>
      <c r="D29" s="5"/>
      <c r="E29" s="5"/>
      <c r="F29" s="5"/>
      <c r="G29" s="5"/>
      <c r="H29" s="5"/>
      <c r="I29" s="5"/>
      <c r="J29" s="5"/>
      <c r="K29" s="5"/>
      <c r="L29" s="5"/>
      <c r="M29" s="5"/>
      <c r="N29" s="5"/>
      <c r="O29" s="5"/>
      <c r="P29" s="5"/>
      <c r="Q29" s="5"/>
    </row>
    <row r="30" spans="2:17" x14ac:dyDescent="0.15">
      <c r="B30" s="26" t="s">
        <v>162</v>
      </c>
      <c r="C30" s="29">
        <f>'1-StartingPoint'!E38</f>
        <v>0.09</v>
      </c>
      <c r="D30" s="5"/>
      <c r="E30" s="5"/>
      <c r="F30" s="5"/>
      <c r="G30" s="5"/>
      <c r="H30" s="5"/>
      <c r="I30" s="5"/>
      <c r="J30" s="5"/>
      <c r="K30" s="5"/>
      <c r="L30" s="5"/>
      <c r="M30" s="5"/>
      <c r="N30" s="5"/>
      <c r="O30" s="5"/>
      <c r="P30" s="5"/>
      <c r="Q30" s="5"/>
    </row>
    <row r="31" spans="2:17" x14ac:dyDescent="0.15">
      <c r="B31" s="26" t="s">
        <v>163</v>
      </c>
      <c r="C31" s="27">
        <f>'1-StartingPoint'!F38</f>
        <v>240</v>
      </c>
      <c r="D31" s="5"/>
      <c r="E31" s="5"/>
      <c r="F31" s="5"/>
      <c r="G31" s="5"/>
      <c r="H31" s="5"/>
      <c r="I31" s="5"/>
      <c r="J31" s="5"/>
      <c r="K31" s="5"/>
      <c r="L31" s="5"/>
      <c r="M31" s="5"/>
      <c r="N31" s="5"/>
      <c r="O31" s="5"/>
      <c r="P31" s="5"/>
      <c r="Q31" s="5"/>
    </row>
    <row r="32" spans="2:17" x14ac:dyDescent="0.15">
      <c r="B32" s="26" t="s">
        <v>164</v>
      </c>
      <c r="C32" s="28">
        <f>ABS(PMT(C30/12,C31,C29))</f>
        <v>0</v>
      </c>
      <c r="D32" s="5"/>
      <c r="E32" s="5"/>
      <c r="F32" s="5"/>
      <c r="G32" s="5"/>
      <c r="H32" s="5"/>
      <c r="I32" s="5"/>
      <c r="J32" s="5"/>
      <c r="K32" s="5"/>
      <c r="L32" s="5"/>
      <c r="M32" s="5"/>
      <c r="N32" s="5"/>
      <c r="O32" s="5"/>
      <c r="P32" s="5"/>
      <c r="Q32" s="5"/>
    </row>
    <row r="33" spans="2:17" x14ac:dyDescent="0.15">
      <c r="B33" s="26"/>
      <c r="C33" s="43" t="str">
        <f>'3a-SalesForecastYear1'!$C$16</f>
        <v>January</v>
      </c>
      <c r="D33" s="43" t="str">
        <f>'3a-SalesForecastYear1'!$D$16</f>
        <v>February</v>
      </c>
      <c r="E33" s="43" t="str">
        <f>'3a-SalesForecastYear1'!$E$16</f>
        <v>March</v>
      </c>
      <c r="F33" s="43" t="str">
        <f>'3a-SalesForecastYear1'!$F$16</f>
        <v>April</v>
      </c>
      <c r="G33" s="43" t="str">
        <f>'3a-SalesForecastYear1'!$G$16</f>
        <v>May</v>
      </c>
      <c r="H33" s="43" t="str">
        <f>'3a-SalesForecastYear1'!$H$16</f>
        <v>June</v>
      </c>
      <c r="I33" s="43" t="str">
        <f>'3a-SalesForecastYear1'!$I$16</f>
        <v>July</v>
      </c>
      <c r="J33" s="43" t="str">
        <f>'3a-SalesForecastYear1'!$J$16</f>
        <v>August</v>
      </c>
      <c r="K33" s="43" t="str">
        <f>'3a-SalesForecastYear1'!$K$16</f>
        <v>September</v>
      </c>
      <c r="L33" s="43" t="str">
        <f>'3a-SalesForecastYear1'!$L$16</f>
        <v>October</v>
      </c>
      <c r="M33" s="43" t="str">
        <f>'3a-SalesForecastYear1'!$M$16</f>
        <v>November</v>
      </c>
      <c r="N33" s="43" t="str">
        <f>'3a-SalesForecastYear1'!$N$16</f>
        <v>December</v>
      </c>
      <c r="O33" s="43" t="s">
        <v>8</v>
      </c>
      <c r="P33" s="5"/>
      <c r="Q33" s="5"/>
    </row>
    <row r="34" spans="2:17" x14ac:dyDescent="0.15">
      <c r="B34" s="26" t="s">
        <v>165</v>
      </c>
      <c r="C34" s="7"/>
      <c r="D34" s="7"/>
      <c r="E34" s="7"/>
      <c r="F34" s="7"/>
      <c r="G34" s="7"/>
      <c r="H34" s="7"/>
      <c r="I34" s="7"/>
      <c r="J34" s="7"/>
      <c r="K34" s="7"/>
      <c r="L34" s="7"/>
      <c r="M34" s="7"/>
      <c r="N34" s="7"/>
      <c r="O34" s="7"/>
      <c r="P34" s="5"/>
      <c r="Q34" s="5"/>
    </row>
    <row r="35" spans="2:17" x14ac:dyDescent="0.15">
      <c r="B35" s="44" t="s">
        <v>58</v>
      </c>
      <c r="C35" s="41">
        <f>ABS(IPMT($C$30/12,1,$C$31,$C$29))</f>
        <v>0</v>
      </c>
      <c r="D35" s="41">
        <f>ABS(IPMT($C$30/12,2,$C$31,$C$29))</f>
        <v>0</v>
      </c>
      <c r="E35" s="41">
        <f>ABS(IPMT($C$30/12,3,$C$31,$C$29))</f>
        <v>0</v>
      </c>
      <c r="F35" s="41">
        <f>ABS(IPMT($C$30/12,4,$C$31,$C$29))</f>
        <v>0</v>
      </c>
      <c r="G35" s="41">
        <f>ABS(IPMT($C$30/12,5,$C$31,$C$29))</f>
        <v>0</v>
      </c>
      <c r="H35" s="41">
        <f>ABS(IPMT($C$30/12,6,$C$31,$C$29))</f>
        <v>0</v>
      </c>
      <c r="I35" s="41">
        <f>ABS(IPMT($C$30/12,7,$C$31,$C$29))</f>
        <v>0</v>
      </c>
      <c r="J35" s="41">
        <f>ABS(IPMT($C$30/12,8,$C$31,$C$29))</f>
        <v>0</v>
      </c>
      <c r="K35" s="41">
        <f>ABS(IPMT($C$30/12,9,$C$31,$C$29))</f>
        <v>0</v>
      </c>
      <c r="L35" s="41">
        <f>ABS(IPMT($C$30/12,10,$C$31,$C$29))</f>
        <v>0</v>
      </c>
      <c r="M35" s="41">
        <f>ABS(IPMT($C$30/12,11,$C$31,$C$29))</f>
        <v>0</v>
      </c>
      <c r="N35" s="41">
        <f>ABS(IPMT($C$30/12,12,$C$31,$C$29))</f>
        <v>0</v>
      </c>
      <c r="O35" s="315">
        <f>SUM(C35:N35)</f>
        <v>0</v>
      </c>
      <c r="P35" s="5"/>
      <c r="Q35" s="5"/>
    </row>
    <row r="36" spans="2:17" x14ac:dyDescent="0.15">
      <c r="B36" s="44" t="s">
        <v>166</v>
      </c>
      <c r="C36" s="41">
        <f>ABS(PPMT($C$30/12,1,$C$31,$C$29))</f>
        <v>0</v>
      </c>
      <c r="D36" s="41">
        <f>ABS(PPMT($C$30/12,2,$C$31,$C$29))</f>
        <v>0</v>
      </c>
      <c r="E36" s="41">
        <f>ABS(PPMT($C$30/12,3,$C$31,$C$29))</f>
        <v>0</v>
      </c>
      <c r="F36" s="41">
        <f>ABS(PPMT($C$30/12,4,$C$31,$C$29))</f>
        <v>0</v>
      </c>
      <c r="G36" s="41">
        <f>ABS(PPMT($C$30/12,5,$C$31,$C$29))</f>
        <v>0</v>
      </c>
      <c r="H36" s="41">
        <f>ABS(PPMT($C$30/12,6,$C$31,$C$29))</f>
        <v>0</v>
      </c>
      <c r="I36" s="41">
        <f>ABS(PPMT($C$30/12,7,$C$31,$C$29))</f>
        <v>0</v>
      </c>
      <c r="J36" s="41">
        <f>ABS(PPMT($C$30/12,8,$C$31,$C$29))</f>
        <v>0</v>
      </c>
      <c r="K36" s="41">
        <f>ABS(PPMT($C$30/12,9,$C$31,$C$29))</f>
        <v>0</v>
      </c>
      <c r="L36" s="41">
        <f>ABS(PPMT($C$30/12,10,$C$31,$C$29))</f>
        <v>0</v>
      </c>
      <c r="M36" s="41">
        <f>ABS(PPMT($C$30/12,11,$C$31,$C$29))</f>
        <v>0</v>
      </c>
      <c r="N36" s="41">
        <f>ABS(PPMT($C$30/12,12,$C$31,$C$29))</f>
        <v>0</v>
      </c>
      <c r="O36" s="315">
        <f>SUM(C36:N36)</f>
        <v>0</v>
      </c>
      <c r="P36" s="5"/>
      <c r="Q36" s="5"/>
    </row>
    <row r="37" spans="2:17" x14ac:dyDescent="0.15">
      <c r="B37" s="44" t="s">
        <v>167</v>
      </c>
      <c r="C37" s="42">
        <f>$C$29-C36</f>
        <v>0</v>
      </c>
      <c r="D37" s="42">
        <f t="shared" ref="D37:N37" si="3">C37-D36</f>
        <v>0</v>
      </c>
      <c r="E37" s="42">
        <f t="shared" si="3"/>
        <v>0</v>
      </c>
      <c r="F37" s="42">
        <f t="shared" si="3"/>
        <v>0</v>
      </c>
      <c r="G37" s="42">
        <f t="shared" si="3"/>
        <v>0</v>
      </c>
      <c r="H37" s="42">
        <f t="shared" si="3"/>
        <v>0</v>
      </c>
      <c r="I37" s="42">
        <f t="shared" si="3"/>
        <v>0</v>
      </c>
      <c r="J37" s="42">
        <f t="shared" si="3"/>
        <v>0</v>
      </c>
      <c r="K37" s="42">
        <f t="shared" si="3"/>
        <v>0</v>
      </c>
      <c r="L37" s="42">
        <f t="shared" si="3"/>
        <v>0</v>
      </c>
      <c r="M37" s="42">
        <f t="shared" si="3"/>
        <v>0</v>
      </c>
      <c r="N37" s="42">
        <f t="shared" si="3"/>
        <v>0</v>
      </c>
      <c r="O37" s="37"/>
      <c r="P37" s="5"/>
      <c r="Q37" s="5"/>
    </row>
    <row r="38" spans="2:17" x14ac:dyDescent="0.15">
      <c r="B38" s="26" t="s">
        <v>168</v>
      </c>
      <c r="C38" s="38"/>
      <c r="D38" s="38"/>
      <c r="E38" s="38"/>
      <c r="F38" s="38"/>
      <c r="G38" s="38"/>
      <c r="H38" s="38"/>
      <c r="I38" s="38"/>
      <c r="J38" s="38"/>
      <c r="K38" s="38"/>
      <c r="L38" s="38"/>
      <c r="M38" s="38"/>
      <c r="N38" s="38"/>
      <c r="O38" s="38"/>
      <c r="P38" s="5"/>
      <c r="Q38" s="5"/>
    </row>
    <row r="39" spans="2:17" x14ac:dyDescent="0.15">
      <c r="B39" s="44" t="s">
        <v>58</v>
      </c>
      <c r="C39" s="41">
        <f>IF($C$31&lt;13,0,ABS(IPMT($C$30/12,13,$C$31,$C$29)))</f>
        <v>0</v>
      </c>
      <c r="D39" s="41">
        <f>IF($C$31&lt;14,0,ABS(IPMT($C$30/12,14,$C$31,$C$29)))</f>
        <v>0</v>
      </c>
      <c r="E39" s="41">
        <f>IF($C$31&lt;15,0,ABS(IPMT($C$30/12,15,$C$31,$C$29)))</f>
        <v>0</v>
      </c>
      <c r="F39" s="41">
        <f>IF($C$31&lt;16,0,ABS(IPMT($C$30/12,16,$C$31,$C$29)))</f>
        <v>0</v>
      </c>
      <c r="G39" s="41">
        <f>IF($C$31&lt;17,0,ABS(IPMT($C$30/12,17,$C$31,$C$29)))</f>
        <v>0</v>
      </c>
      <c r="H39" s="41">
        <f>IF($C$31&lt;18,0,ABS(IPMT($C$30/12,18,$C$31,$C$29)))</f>
        <v>0</v>
      </c>
      <c r="I39" s="41">
        <f>IF($C$31&lt;19,0,ABS(IPMT($C$30/12,19,$C$31,$C$29)))</f>
        <v>0</v>
      </c>
      <c r="J39" s="41">
        <f>IF($C$31&lt;20,0,ABS(IPMT($C$30/12,20,$C$31,$C$29)))</f>
        <v>0</v>
      </c>
      <c r="K39" s="41">
        <f>IF($C$31&lt;21,0,ABS(IPMT($C$30/12,21,$C$31,$C$29)))</f>
        <v>0</v>
      </c>
      <c r="L39" s="41">
        <f>IF($C$31&lt;22,0,ABS(IPMT($C$30/12,22,$C$31,$C$29)))</f>
        <v>0</v>
      </c>
      <c r="M39" s="41">
        <f>IF($C$31&lt;23,0,ABS(IPMT($C$30/12,23,$C$31,$C$29)))</f>
        <v>0</v>
      </c>
      <c r="N39" s="41">
        <f>IF($C$31&lt;24,0,ABS(IPMT($C$30/12,24,$C$31,$C$29)))</f>
        <v>0</v>
      </c>
      <c r="O39" s="315">
        <f>SUM(C39:N39)</f>
        <v>0</v>
      </c>
      <c r="P39" s="5"/>
      <c r="Q39" s="5"/>
    </row>
    <row r="40" spans="2:17" x14ac:dyDescent="0.15">
      <c r="B40" s="44" t="s">
        <v>166</v>
      </c>
      <c r="C40" s="41">
        <f>IF($C$31&lt;13,0,ABS(PPMT($C$30/12,13,$C$31,$C$29)))</f>
        <v>0</v>
      </c>
      <c r="D40" s="41">
        <f>IF($C$31&lt;14,0,ABS(PPMT($C$30/12,14,$C$31,$C$29)))</f>
        <v>0</v>
      </c>
      <c r="E40" s="41">
        <f>IF($C$31&lt;13,0,ABS(PPMT($C$30/12,15,$C$31,$C$29)))</f>
        <v>0</v>
      </c>
      <c r="F40" s="41">
        <f>IF($C$31&lt;16,0,ABS(PPMT($C$30/12,16,$C$31,$C$29)))</f>
        <v>0</v>
      </c>
      <c r="G40" s="41">
        <f>IF($C$31&lt;17,0,ABS(PPMT($C$30/12,17,$C$31,$C$29)))</f>
        <v>0</v>
      </c>
      <c r="H40" s="41">
        <f>IF($C$31&lt;18,0,ABS(PPMT($C$30/12,18,$C$31,$C$29)))</f>
        <v>0</v>
      </c>
      <c r="I40" s="41">
        <f>IF($C$31&lt;19,0,ABS(PPMT($C$30/12,19,$C$31,$C$29)))</f>
        <v>0</v>
      </c>
      <c r="J40" s="41">
        <f>IF($C$31&lt;20,0,ABS(PPMT($C$30/12,20,$C$31,$C$29)))</f>
        <v>0</v>
      </c>
      <c r="K40" s="41">
        <f>IF($C$31&lt;21,0,ABS(PPMT($C$30/12,21,$C$31,$C$29)))</f>
        <v>0</v>
      </c>
      <c r="L40" s="41">
        <f>IF($C$31&lt;22,0,ABS(PPMT($C$30/12,22,$C$31,$C$29)))</f>
        <v>0</v>
      </c>
      <c r="M40" s="41">
        <f>IF($C$31&lt;23,0,ABS(PPMT($C$30/12,23,$C$31,$C$29)))</f>
        <v>0</v>
      </c>
      <c r="N40" s="41">
        <f>IF($C$31&lt;24,0,ABS(PPMT($C$30/12,24,$C$31,$C$29)))</f>
        <v>0</v>
      </c>
      <c r="O40" s="315">
        <f>SUM(C40:N40)</f>
        <v>0</v>
      </c>
      <c r="P40" s="5"/>
      <c r="Q40" s="5"/>
    </row>
    <row r="41" spans="2:17" x14ac:dyDescent="0.15">
      <c r="B41" s="44" t="s">
        <v>167</v>
      </c>
      <c r="C41" s="42">
        <f>N37-C40</f>
        <v>0</v>
      </c>
      <c r="D41" s="42">
        <f t="shared" ref="D41:N41" si="4">C41-D40</f>
        <v>0</v>
      </c>
      <c r="E41" s="42">
        <f t="shared" si="4"/>
        <v>0</v>
      </c>
      <c r="F41" s="42">
        <f t="shared" si="4"/>
        <v>0</v>
      </c>
      <c r="G41" s="42">
        <f t="shared" si="4"/>
        <v>0</v>
      </c>
      <c r="H41" s="42">
        <f t="shared" si="4"/>
        <v>0</v>
      </c>
      <c r="I41" s="42">
        <f t="shared" si="4"/>
        <v>0</v>
      </c>
      <c r="J41" s="42">
        <f t="shared" si="4"/>
        <v>0</v>
      </c>
      <c r="K41" s="42">
        <f t="shared" si="4"/>
        <v>0</v>
      </c>
      <c r="L41" s="42">
        <f t="shared" si="4"/>
        <v>0</v>
      </c>
      <c r="M41" s="42">
        <f t="shared" si="4"/>
        <v>0</v>
      </c>
      <c r="N41" s="42">
        <f t="shared" si="4"/>
        <v>0</v>
      </c>
      <c r="O41" s="37"/>
      <c r="P41" s="5"/>
      <c r="Q41" s="5"/>
    </row>
    <row r="42" spans="2:17" x14ac:dyDescent="0.15">
      <c r="B42" s="26" t="s">
        <v>169</v>
      </c>
      <c r="C42" s="38"/>
      <c r="D42" s="38"/>
      <c r="E42" s="38"/>
      <c r="F42" s="38"/>
      <c r="G42" s="38"/>
      <c r="H42" s="38"/>
      <c r="I42" s="38"/>
      <c r="J42" s="38"/>
      <c r="K42" s="38"/>
      <c r="L42" s="38"/>
      <c r="M42" s="38"/>
      <c r="N42" s="38"/>
      <c r="O42" s="38"/>
      <c r="P42" s="5"/>
      <c r="Q42" s="5"/>
    </row>
    <row r="43" spans="2:17" x14ac:dyDescent="0.15">
      <c r="B43" s="44" t="s">
        <v>58</v>
      </c>
      <c r="C43" s="41">
        <f>IF($C$31&lt;25,0,ABS(IPMT($C$30/12,25,$C$31,$C$29)))</f>
        <v>0</v>
      </c>
      <c r="D43" s="41">
        <f>IF($C$31&lt;26,0,ABS(IPMT($C$30/12,26,$C$31,$C$29)))</f>
        <v>0</v>
      </c>
      <c r="E43" s="41">
        <f>IF($C$31&lt;27,0,ABS(IPMT($C$30/12,27,$C$31,$C$29)))</f>
        <v>0</v>
      </c>
      <c r="F43" s="41">
        <f>IF($C$31&lt;28,0,ABS(IPMT($C$30/12,28,$C$31,$C$29)))</f>
        <v>0</v>
      </c>
      <c r="G43" s="41">
        <f>IF($C$31&lt;29,0,ABS(IPMT($C$30/12,29,$C$31,$C$29)))</f>
        <v>0</v>
      </c>
      <c r="H43" s="41">
        <f>IF($C$31&lt;29,0,ABS(IPMT($C$30/12,30,$C$31,$C$29)))</f>
        <v>0</v>
      </c>
      <c r="I43" s="41">
        <f>IF($C$31&lt;30,0,ABS(IPMT($C$30/12,31,$C$31,$C$29)))</f>
        <v>0</v>
      </c>
      <c r="J43" s="41">
        <f>IF($C$31&lt;31,0,ABS(IPMT($C$30/12,32,$C$31,$C$29)))</f>
        <v>0</v>
      </c>
      <c r="K43" s="41">
        <f>IF($C$31&lt;32,0,ABS(IPMT($C$30/12,33,$C$31,$C$29)))</f>
        <v>0</v>
      </c>
      <c r="L43" s="41">
        <f>IF($C$31&lt;33,0,ABS(IPMT($C$30/12,34,$C$31,$C$29)))</f>
        <v>0</v>
      </c>
      <c r="M43" s="41">
        <f>IF($C$31&lt;34,0,ABS(IPMT($C$30/12,35,$C$31,$C$29)))</f>
        <v>0</v>
      </c>
      <c r="N43" s="41">
        <f>IF($C$31&lt;35,0,ABS(IPMT($C$30/12,36,$C$31,$C$29)))</f>
        <v>0</v>
      </c>
      <c r="O43" s="315">
        <f>SUM(C43:N43)</f>
        <v>0</v>
      </c>
      <c r="P43" s="5"/>
      <c r="Q43" s="5"/>
    </row>
    <row r="44" spans="2:17" x14ac:dyDescent="0.15">
      <c r="B44" s="44" t="s">
        <v>166</v>
      </c>
      <c r="C44" s="41">
        <f>IF($C$31&lt;25,0,ABS(PPMT($C$30/12,25,$C$31,$C$29)))</f>
        <v>0</v>
      </c>
      <c r="D44" s="41">
        <f>IF($C$31&lt;26,0,ABS(PPMT($C$30/12,26,$C$31,$C$29)))</f>
        <v>0</v>
      </c>
      <c r="E44" s="41">
        <f>IF($C$31&lt;27,0,ABS(PPMT($C$30/12,27,$C$31,$C$29)))</f>
        <v>0</v>
      </c>
      <c r="F44" s="41">
        <f>IF($C$31&lt;28,0,ABS(PPMT($C$30/12,28,$C$31,$C$29)))</f>
        <v>0</v>
      </c>
      <c r="G44" s="41">
        <f>IF($C$31&lt;28,0,ABS(PPMT($C$30/12,29,$C$31,$C$29)))</f>
        <v>0</v>
      </c>
      <c r="H44" s="41">
        <f>IF($C$31&lt;29,0,ABS(PPMT($C$30/12,30,$C$31,$C$29)))</f>
        <v>0</v>
      </c>
      <c r="I44" s="41">
        <f>IF($C$31&lt;30,0,ABS(PPMT($C$30/12,31,$C$31,$C$29)))</f>
        <v>0</v>
      </c>
      <c r="J44" s="41">
        <f>IF($C$31&lt;31,0,ABS(PPMT($C$30/12,32,$C$31,$C$29)))</f>
        <v>0</v>
      </c>
      <c r="K44" s="41">
        <f>IF($C$31&lt;32,0,ABS(PPMT($C$30/12,33,$C$31,$C$29)))</f>
        <v>0</v>
      </c>
      <c r="L44" s="41">
        <f>IF($C$31&lt;33,0,ABS(PPMT($C$30/12,34,$C$31,$C$29)))</f>
        <v>0</v>
      </c>
      <c r="M44" s="41">
        <f>IF($C$31&lt;34,0,ABS(PPMT($C$30/12,35,$C$31,$C$29)))</f>
        <v>0</v>
      </c>
      <c r="N44" s="41">
        <f>IF($C$31&lt;35,0,ABS(PPMT($C$30/12,36,$C$31,$C$29)))</f>
        <v>0</v>
      </c>
      <c r="O44" s="315">
        <f>SUM(C44:N44)</f>
        <v>0</v>
      </c>
      <c r="P44" s="5"/>
      <c r="Q44" s="5"/>
    </row>
    <row r="45" spans="2:17" x14ac:dyDescent="0.15">
      <c r="B45" s="44" t="s">
        <v>167</v>
      </c>
      <c r="C45" s="42">
        <f>N41-C44</f>
        <v>0</v>
      </c>
      <c r="D45" s="42">
        <f t="shared" ref="D45:N45" si="5">C45-D44</f>
        <v>0</v>
      </c>
      <c r="E45" s="42">
        <f t="shared" si="5"/>
        <v>0</v>
      </c>
      <c r="F45" s="42">
        <f t="shared" si="5"/>
        <v>0</v>
      </c>
      <c r="G45" s="42">
        <f t="shared" si="5"/>
        <v>0</v>
      </c>
      <c r="H45" s="42">
        <f t="shared" si="5"/>
        <v>0</v>
      </c>
      <c r="I45" s="42">
        <f t="shared" si="5"/>
        <v>0</v>
      </c>
      <c r="J45" s="42">
        <f t="shared" si="5"/>
        <v>0</v>
      </c>
      <c r="K45" s="42">
        <f t="shared" si="5"/>
        <v>0</v>
      </c>
      <c r="L45" s="42">
        <f t="shared" si="5"/>
        <v>0</v>
      </c>
      <c r="M45" s="42">
        <f t="shared" si="5"/>
        <v>0</v>
      </c>
      <c r="N45" s="42">
        <f t="shared" si="5"/>
        <v>0</v>
      </c>
      <c r="O45" s="37"/>
      <c r="P45" s="5"/>
      <c r="Q45" s="5"/>
    </row>
    <row r="46" spans="2:17" x14ac:dyDescent="0.15">
      <c r="B46" s="9"/>
      <c r="C46" s="9"/>
      <c r="D46" s="5"/>
      <c r="E46" s="5"/>
      <c r="F46" s="5"/>
      <c r="G46" s="5"/>
      <c r="H46" s="5"/>
      <c r="I46" s="5"/>
      <c r="J46" s="5"/>
      <c r="K46" s="5"/>
      <c r="L46" s="5"/>
      <c r="M46" s="5"/>
      <c r="N46" s="5"/>
      <c r="O46" s="5"/>
      <c r="P46" s="5"/>
      <c r="Q46" s="5"/>
    </row>
    <row r="47" spans="2:17" x14ac:dyDescent="0.15">
      <c r="B47" s="9"/>
      <c r="C47" s="9"/>
      <c r="D47" s="5"/>
      <c r="E47" s="5"/>
      <c r="F47" s="5"/>
      <c r="G47" s="5"/>
      <c r="H47" s="5"/>
      <c r="I47" s="5"/>
      <c r="J47" s="5"/>
      <c r="K47" s="5"/>
      <c r="L47" s="5"/>
      <c r="M47" s="5"/>
      <c r="N47" s="5"/>
      <c r="O47" s="5"/>
      <c r="P47" s="5"/>
      <c r="Q47" s="5"/>
    </row>
    <row r="48" spans="2:17" ht="13" thickBot="1" x14ac:dyDescent="0.2">
      <c r="B48" s="506" t="s">
        <v>144</v>
      </c>
      <c r="C48" s="506"/>
      <c r="D48" s="5"/>
      <c r="E48" s="5"/>
      <c r="F48" s="5"/>
      <c r="G48" s="5"/>
      <c r="H48" s="5"/>
      <c r="I48" s="5"/>
      <c r="J48" s="5"/>
      <c r="K48" s="5"/>
      <c r="L48" s="5"/>
      <c r="M48" s="5"/>
      <c r="N48" s="5"/>
      <c r="O48" s="5"/>
      <c r="P48" s="5"/>
      <c r="Q48" s="5"/>
    </row>
    <row r="49" spans="2:17" ht="13" thickTop="1" x14ac:dyDescent="0.15">
      <c r="B49" s="150" t="s">
        <v>161</v>
      </c>
      <c r="C49" s="388">
        <f>CCDebt</f>
        <v>0</v>
      </c>
      <c r="D49" s="5"/>
      <c r="E49" s="5"/>
      <c r="F49" s="5"/>
      <c r="G49" s="5"/>
      <c r="H49" s="5"/>
      <c r="I49" s="5"/>
      <c r="J49" s="5"/>
      <c r="K49" s="5"/>
      <c r="L49" s="5"/>
      <c r="M49" s="5"/>
      <c r="N49" s="5"/>
      <c r="O49" s="5"/>
      <c r="P49" s="5"/>
      <c r="Q49" s="5"/>
    </row>
    <row r="50" spans="2:17" x14ac:dyDescent="0.15">
      <c r="B50" s="26" t="s">
        <v>162</v>
      </c>
      <c r="C50" s="29">
        <f>'1-StartingPoint'!E39</f>
        <v>7.0000000000000007E-2</v>
      </c>
      <c r="D50" s="5"/>
      <c r="E50" s="5"/>
      <c r="F50" s="5"/>
      <c r="G50" s="5"/>
      <c r="H50" s="5"/>
      <c r="I50" s="5"/>
      <c r="J50" s="5"/>
      <c r="K50" s="5"/>
      <c r="L50" s="5"/>
      <c r="M50" s="5"/>
      <c r="N50" s="5"/>
      <c r="O50" s="5"/>
      <c r="P50" s="5"/>
      <c r="Q50" s="5"/>
    </row>
    <row r="51" spans="2:17" x14ac:dyDescent="0.15">
      <c r="B51" s="26" t="s">
        <v>163</v>
      </c>
      <c r="C51" s="27">
        <f>'1-StartingPoint'!F39</f>
        <v>60</v>
      </c>
      <c r="D51" s="5"/>
      <c r="E51" s="5"/>
      <c r="F51" s="5"/>
      <c r="G51" s="5"/>
      <c r="H51" s="5"/>
      <c r="I51" s="5"/>
      <c r="J51" s="5"/>
      <c r="K51" s="5"/>
      <c r="L51" s="5"/>
      <c r="M51" s="5"/>
      <c r="N51" s="5"/>
      <c r="O51" s="5"/>
      <c r="P51" s="5"/>
      <c r="Q51" s="5"/>
    </row>
    <row r="52" spans="2:17" x14ac:dyDescent="0.15">
      <c r="B52" s="26" t="s">
        <v>164</v>
      </c>
      <c r="C52" s="28">
        <f>ABS(PMT(C50/12,C51,C49))</f>
        <v>0</v>
      </c>
      <c r="D52" s="5"/>
      <c r="E52" s="5"/>
      <c r="F52" s="5"/>
      <c r="G52" s="5"/>
      <c r="H52" s="5"/>
      <c r="I52" s="5"/>
      <c r="J52" s="5"/>
      <c r="K52" s="5"/>
      <c r="L52" s="5"/>
      <c r="M52" s="5"/>
      <c r="N52" s="5"/>
      <c r="O52" s="5"/>
      <c r="P52" s="5"/>
      <c r="Q52" s="5"/>
    </row>
    <row r="53" spans="2:17" x14ac:dyDescent="0.15">
      <c r="B53" s="26"/>
      <c r="C53" s="43" t="str">
        <f>'3a-SalesForecastYear1'!$C$16</f>
        <v>January</v>
      </c>
      <c r="D53" s="43" t="str">
        <f>'3a-SalesForecastYear1'!$D$16</f>
        <v>February</v>
      </c>
      <c r="E53" s="43" t="str">
        <f>'3a-SalesForecastYear1'!$E$16</f>
        <v>March</v>
      </c>
      <c r="F53" s="43" t="str">
        <f>'3a-SalesForecastYear1'!$F$16</f>
        <v>April</v>
      </c>
      <c r="G53" s="43" t="str">
        <f>'3a-SalesForecastYear1'!$G$16</f>
        <v>May</v>
      </c>
      <c r="H53" s="43" t="str">
        <f>'3a-SalesForecastYear1'!$H$16</f>
        <v>June</v>
      </c>
      <c r="I53" s="43" t="str">
        <f>'3a-SalesForecastYear1'!$I$16</f>
        <v>July</v>
      </c>
      <c r="J53" s="43" t="str">
        <f>'3a-SalesForecastYear1'!$J$16</f>
        <v>August</v>
      </c>
      <c r="K53" s="43" t="str">
        <f>'3a-SalesForecastYear1'!$K$16</f>
        <v>September</v>
      </c>
      <c r="L53" s="43" t="str">
        <f>'3a-SalesForecastYear1'!$L$16</f>
        <v>October</v>
      </c>
      <c r="M53" s="43" t="str">
        <f>'3a-SalesForecastYear1'!$M$16</f>
        <v>November</v>
      </c>
      <c r="N53" s="43" t="str">
        <f>'3a-SalesForecastYear1'!$N$16</f>
        <v>December</v>
      </c>
      <c r="O53" s="43" t="s">
        <v>8</v>
      </c>
      <c r="P53" s="5"/>
      <c r="Q53" s="5"/>
    </row>
    <row r="54" spans="2:17" x14ac:dyDescent="0.15">
      <c r="B54" s="26" t="s">
        <v>165</v>
      </c>
      <c r="C54" s="7"/>
      <c r="D54" s="7"/>
      <c r="E54" s="7"/>
      <c r="F54" s="7"/>
      <c r="G54" s="7"/>
      <c r="H54" s="7"/>
      <c r="I54" s="7"/>
      <c r="J54" s="7"/>
      <c r="K54" s="7"/>
      <c r="L54" s="7"/>
      <c r="M54" s="7"/>
      <c r="N54" s="7"/>
      <c r="O54" s="7"/>
      <c r="P54" s="5"/>
      <c r="Q54" s="5"/>
    </row>
    <row r="55" spans="2:17" x14ac:dyDescent="0.15">
      <c r="B55" s="44" t="s">
        <v>58</v>
      </c>
      <c r="C55" s="41">
        <f>ABS(IPMT($C$50/12,1,$C$51,$C$49))</f>
        <v>0</v>
      </c>
      <c r="D55" s="41">
        <f>ABS(IPMT($C$50/12,2,$C$51,$C$49))</f>
        <v>0</v>
      </c>
      <c r="E55" s="41">
        <f>ABS(IPMT($C$50/12,3,$C$51,$C$49))</f>
        <v>0</v>
      </c>
      <c r="F55" s="41">
        <f>ABS(IPMT($C$50/12,4,$C$51,$C$49))</f>
        <v>0</v>
      </c>
      <c r="G55" s="41">
        <f>ABS(IPMT($C$50/12,5,$C$51,$C$49))</f>
        <v>0</v>
      </c>
      <c r="H55" s="41">
        <f>ABS(IPMT($C$50/12,6,$C$51,$C$49))</f>
        <v>0</v>
      </c>
      <c r="I55" s="41">
        <f>ABS(IPMT($C$50/12,7,$C$51,$C$49))</f>
        <v>0</v>
      </c>
      <c r="J55" s="41">
        <f>ABS(IPMT($C$50/12,8,$C$51,$C$49))</f>
        <v>0</v>
      </c>
      <c r="K55" s="41">
        <f>ABS(IPMT($C$50/12,9,$C$51,$C$49))</f>
        <v>0</v>
      </c>
      <c r="L55" s="41">
        <f>ABS(IPMT($C$50/12,10,$C$51,$C$49))</f>
        <v>0</v>
      </c>
      <c r="M55" s="41">
        <f>ABS(IPMT($C$50/12,11,$C$51,$C$49))</f>
        <v>0</v>
      </c>
      <c r="N55" s="41">
        <f>ABS(IPMT($C$50/12,12,$C$51,$C$49))</f>
        <v>0</v>
      </c>
      <c r="O55" s="315">
        <f>SUM(C55:N55)</f>
        <v>0</v>
      </c>
      <c r="P55" s="5"/>
      <c r="Q55" s="5"/>
    </row>
    <row r="56" spans="2:17" x14ac:dyDescent="0.15">
      <c r="B56" s="44" t="s">
        <v>166</v>
      </c>
      <c r="C56" s="41">
        <f>ABS(PPMT($C$50/12,1,$C$51,$C$49))</f>
        <v>0</v>
      </c>
      <c r="D56" s="41">
        <f>ABS(PPMT($C$50/12,2,$C$51,$C$49))</f>
        <v>0</v>
      </c>
      <c r="E56" s="41">
        <f>ABS(PPMT($C$50/12,3,$C$51,$C$49))</f>
        <v>0</v>
      </c>
      <c r="F56" s="41">
        <f>ABS(PPMT($C$50/12,4,$C$51,$C$49))</f>
        <v>0</v>
      </c>
      <c r="G56" s="41">
        <f>ABS(PPMT($C$50/12,5,$C$51,$C$49))</f>
        <v>0</v>
      </c>
      <c r="H56" s="41">
        <f>ABS(PPMT($C$50/12,6,$C$51,$C$49))</f>
        <v>0</v>
      </c>
      <c r="I56" s="41">
        <f>ABS(PPMT($C$50/12,7,$C$51,$C$49))</f>
        <v>0</v>
      </c>
      <c r="J56" s="41">
        <f>ABS(PPMT($C$50/12,8,$C$51,$C$49))</f>
        <v>0</v>
      </c>
      <c r="K56" s="41">
        <f>ABS(PPMT($C$50/12,9,$C$51,$C$49))</f>
        <v>0</v>
      </c>
      <c r="L56" s="41">
        <f>ABS(PPMT($C$50/12,10,$C$51,$C$49))</f>
        <v>0</v>
      </c>
      <c r="M56" s="41">
        <f>ABS(PPMT($C$50/12,11,$C$51,$C$49))</f>
        <v>0</v>
      </c>
      <c r="N56" s="41">
        <f>ABS(PPMT($C$50/12,12,$C$51,$C$49))</f>
        <v>0</v>
      </c>
      <c r="O56" s="315">
        <f>SUM(C56:N56)</f>
        <v>0</v>
      </c>
      <c r="P56" s="5"/>
      <c r="Q56" s="5"/>
    </row>
    <row r="57" spans="2:17" x14ac:dyDescent="0.15">
      <c r="B57" s="44" t="s">
        <v>167</v>
      </c>
      <c r="C57" s="42">
        <f>$C$49-C56</f>
        <v>0</v>
      </c>
      <c r="D57" s="42">
        <f t="shared" ref="D57:N57" si="6">C57-D56</f>
        <v>0</v>
      </c>
      <c r="E57" s="42">
        <f t="shared" si="6"/>
        <v>0</v>
      </c>
      <c r="F57" s="42">
        <f t="shared" si="6"/>
        <v>0</v>
      </c>
      <c r="G57" s="42">
        <f t="shared" si="6"/>
        <v>0</v>
      </c>
      <c r="H57" s="42">
        <f t="shared" si="6"/>
        <v>0</v>
      </c>
      <c r="I57" s="42">
        <f t="shared" si="6"/>
        <v>0</v>
      </c>
      <c r="J57" s="42">
        <f t="shared" si="6"/>
        <v>0</v>
      </c>
      <c r="K57" s="42">
        <f t="shared" si="6"/>
        <v>0</v>
      </c>
      <c r="L57" s="42">
        <f t="shared" si="6"/>
        <v>0</v>
      </c>
      <c r="M57" s="42">
        <f t="shared" si="6"/>
        <v>0</v>
      </c>
      <c r="N57" s="42">
        <f t="shared" si="6"/>
        <v>0</v>
      </c>
      <c r="O57" s="37"/>
      <c r="P57" s="5"/>
      <c r="Q57" s="5"/>
    </row>
    <row r="58" spans="2:17" x14ac:dyDescent="0.15">
      <c r="B58" s="26" t="s">
        <v>168</v>
      </c>
      <c r="C58" s="38"/>
      <c r="D58" s="38"/>
      <c r="E58" s="38"/>
      <c r="F58" s="38"/>
      <c r="G58" s="38"/>
      <c r="H58" s="38"/>
      <c r="I58" s="38"/>
      <c r="J58" s="38"/>
      <c r="K58" s="38"/>
      <c r="L58" s="38"/>
      <c r="M58" s="38"/>
      <c r="N58" s="38"/>
      <c r="O58" s="38"/>
      <c r="P58" s="5"/>
      <c r="Q58" s="5"/>
    </row>
    <row r="59" spans="2:17" x14ac:dyDescent="0.15">
      <c r="B59" s="44" t="s">
        <v>58</v>
      </c>
      <c r="C59" s="41">
        <f>IF($C$51&lt;13,0,ABS(IPMT($C$50/12,13,$C$51,$C$49)))</f>
        <v>0</v>
      </c>
      <c r="D59" s="41">
        <f>IF($C$51&lt;14,0,ABS(IPMT($C$50/12,14,$C$51,$C$49)))</f>
        <v>0</v>
      </c>
      <c r="E59" s="41">
        <f>IF($C$51&lt;15,0,ABS(IPMT($C$50/12,15,$C$51,$C$49)))</f>
        <v>0</v>
      </c>
      <c r="F59" s="41">
        <f>IF($C$51&lt;16,0,ABS(IPMT($C$50/12,16,$C$51,$C$49)))</f>
        <v>0</v>
      </c>
      <c r="G59" s="41">
        <f>IF($C$51&lt;17,0,ABS(IPMT($C$50/12,17,$C$51,$C$49)))</f>
        <v>0</v>
      </c>
      <c r="H59" s="41">
        <f>IF($C$51&lt;18,0,ABS(IPMT($C$50/12,18,$C$51,$C$49)))</f>
        <v>0</v>
      </c>
      <c r="I59" s="41">
        <f>IF($C$51&lt;19,0,ABS(IPMT($C$50/12,19,$C$51,$C$49)))</f>
        <v>0</v>
      </c>
      <c r="J59" s="41">
        <f>IF($C$51&lt;20,0,ABS(IPMT($C$50/12,20,$C$51,$C$49)))</f>
        <v>0</v>
      </c>
      <c r="K59" s="41">
        <f>IF($C$51&lt;21,0,ABS(IPMT($C$50/12,21,$C$51,$C$49)))</f>
        <v>0</v>
      </c>
      <c r="L59" s="41">
        <f>IF($C$51&lt;22,0,ABS(IPMT($C$50/12,22,$C$51,$C$49)))</f>
        <v>0</v>
      </c>
      <c r="M59" s="41">
        <f>IF($C$51&lt;23,0,ABS(IPMT($C$50/23,11,$C$51,$C$49)))</f>
        <v>0</v>
      </c>
      <c r="N59" s="41">
        <f>IF($C$51&lt;24,0,ABS(IPMT($C$50/12,24,$C$51,$C$49)))</f>
        <v>0</v>
      </c>
      <c r="O59" s="315">
        <f>SUM(C59:N59)</f>
        <v>0</v>
      </c>
      <c r="P59" s="5"/>
      <c r="Q59" s="5"/>
    </row>
    <row r="60" spans="2:17" x14ac:dyDescent="0.15">
      <c r="B60" s="44" t="s">
        <v>166</v>
      </c>
      <c r="C60" s="41">
        <f>IF($C$51&lt;13,0,ABS(PPMT($C$50/12,13,$C$51,$C$49)))</f>
        <v>0</v>
      </c>
      <c r="D60" s="41">
        <f>IF($C$51&lt;14,0,ABS(PPMT($C$50/12,14,$C$51,$C$49)))</f>
        <v>0</v>
      </c>
      <c r="E60" s="41">
        <f>IF($C$51&lt;15,0,ABS(PPMT($C$50/12,15,$C$51,$C$49)))</f>
        <v>0</v>
      </c>
      <c r="F60" s="41">
        <f>IF($C$51&lt;16,0,ABS(PPMT($C$50/12,16,$C$51,$C$49)))</f>
        <v>0</v>
      </c>
      <c r="G60" s="41">
        <f>IF($C$51&lt;17,0,ABS(PPMT($C$50/12,17,$C$51,$C$49)))</f>
        <v>0</v>
      </c>
      <c r="H60" s="41">
        <f>IF($C$51&lt;18,0,ABS(PPMT($C$50/12,18,$C$51,$C$49)))</f>
        <v>0</v>
      </c>
      <c r="I60" s="41">
        <f>IF($C$51&lt;19,0,ABS(PPMT($C$50/12,19,$C$51,$C$49)))</f>
        <v>0</v>
      </c>
      <c r="J60" s="41">
        <f>IF($C$51&lt;20,0,ABS(PPMT($C$50/12,20,$C$51,$C$49)))</f>
        <v>0</v>
      </c>
      <c r="K60" s="41">
        <f>IF($C$51&lt;21,0,ABS(PPMT($C$50/12,21,$C$51,$C$49)))</f>
        <v>0</v>
      </c>
      <c r="L60" s="41">
        <f>IF($C$51&lt;22,0,ABS(PPMT($C$50/12,22,$C$51,$C$49)))</f>
        <v>0</v>
      </c>
      <c r="M60" s="41">
        <f>IF($C$51&lt;23,0,ABS(PPMT($C$50/12,23,$C$51,$C$49)))</f>
        <v>0</v>
      </c>
      <c r="N60" s="41">
        <f>IF($C$51&lt;24,0,ABS(PPMT($C$50/12,24,$C$51,$C$49)))</f>
        <v>0</v>
      </c>
      <c r="O60" s="315">
        <f>SUM(C60:N60)</f>
        <v>0</v>
      </c>
      <c r="P60" s="5"/>
      <c r="Q60" s="5"/>
    </row>
    <row r="61" spans="2:17" x14ac:dyDescent="0.15">
      <c r="B61" s="44" t="s">
        <v>167</v>
      </c>
      <c r="C61" s="42">
        <f>N57-C60</f>
        <v>0</v>
      </c>
      <c r="D61" s="42">
        <f t="shared" ref="D61:N61" si="7">C61-D60</f>
        <v>0</v>
      </c>
      <c r="E61" s="42">
        <f t="shared" si="7"/>
        <v>0</v>
      </c>
      <c r="F61" s="42">
        <f t="shared" si="7"/>
        <v>0</v>
      </c>
      <c r="G61" s="42">
        <f t="shared" si="7"/>
        <v>0</v>
      </c>
      <c r="H61" s="42">
        <f t="shared" si="7"/>
        <v>0</v>
      </c>
      <c r="I61" s="42">
        <f t="shared" si="7"/>
        <v>0</v>
      </c>
      <c r="J61" s="42">
        <f t="shared" si="7"/>
        <v>0</v>
      </c>
      <c r="K61" s="42">
        <f t="shared" si="7"/>
        <v>0</v>
      </c>
      <c r="L61" s="42">
        <f t="shared" si="7"/>
        <v>0</v>
      </c>
      <c r="M61" s="42">
        <f t="shared" si="7"/>
        <v>0</v>
      </c>
      <c r="N61" s="42">
        <f t="shared" si="7"/>
        <v>0</v>
      </c>
      <c r="O61" s="37"/>
      <c r="P61" s="5"/>
      <c r="Q61" s="5"/>
    </row>
    <row r="62" spans="2:17" x14ac:dyDescent="0.15">
      <c r="B62" s="26" t="s">
        <v>169</v>
      </c>
      <c r="C62" s="38"/>
      <c r="D62" s="38"/>
      <c r="E62" s="38"/>
      <c r="F62" s="38"/>
      <c r="G62" s="38"/>
      <c r="H62" s="38"/>
      <c r="I62" s="38"/>
      <c r="J62" s="38"/>
      <c r="K62" s="38"/>
      <c r="L62" s="38"/>
      <c r="M62" s="38"/>
      <c r="N62" s="38"/>
      <c r="O62" s="38"/>
      <c r="P62" s="5"/>
      <c r="Q62" s="5"/>
    </row>
    <row r="63" spans="2:17" x14ac:dyDescent="0.15">
      <c r="B63" s="44" t="s">
        <v>58</v>
      </c>
      <c r="C63" s="41">
        <f>IF($C$51&lt;25,0,ABS(IPMT($C$50/12,25,$C$51,$C$49)))</f>
        <v>0</v>
      </c>
      <c r="D63" s="41">
        <f>IF($C$51&lt;26,0,ABS(IPMT($C$50/12,26,$C$51,$C$49)))</f>
        <v>0</v>
      </c>
      <c r="E63" s="41">
        <f>IF($C$51&lt;27,0,ABS(IPMT($C$50/12,27,$C$51,$C$49)))</f>
        <v>0</v>
      </c>
      <c r="F63" s="41">
        <f>IF($C$51&lt;28,0,ABS(IPMT($C$50/12,28,$C$51,$C$49)))</f>
        <v>0</v>
      </c>
      <c r="G63" s="41">
        <f>IF($C$51&lt;29,0,ABS(IPMT($C$50/12,29,$C$51,$C$49)))</f>
        <v>0</v>
      </c>
      <c r="H63" s="41">
        <f>IF($C$51&lt;30,0,ABS(IPMT($C$50/12,30,$C$51,$C$49)))</f>
        <v>0</v>
      </c>
      <c r="I63" s="41">
        <f>IF($C$51&lt;31,0,ABS(IPMT($C$50/12,31,$C$51,$C$49)))</f>
        <v>0</v>
      </c>
      <c r="J63" s="41">
        <f>IF($C$51&lt;32,0,ABS(IPMT($C$50/12,32,$C$51,$C$49)))</f>
        <v>0</v>
      </c>
      <c r="K63" s="41">
        <f>IF($C$51&lt;33,0,ABS(IPMT($C$50/12,33,$C$51,$C$49)))</f>
        <v>0</v>
      </c>
      <c r="L63" s="41">
        <f>IF($C$51&lt;34,0,ABS(IPMT($C$50/12,34,$C$51,$C$49)))</f>
        <v>0</v>
      </c>
      <c r="M63" s="41">
        <f>IF($C$51&lt;35,0,ABS(IPMT($C$50/12,35,$C$51,$C$49)))</f>
        <v>0</v>
      </c>
      <c r="N63" s="41">
        <f>IF($C$51&lt;36,0,ABS(IPMT($C$50/12,36,$C$51,$C$49)))</f>
        <v>0</v>
      </c>
      <c r="O63" s="315">
        <f>SUM(C63:N63)</f>
        <v>0</v>
      </c>
      <c r="P63" s="5"/>
      <c r="Q63" s="5"/>
    </row>
    <row r="64" spans="2:17" x14ac:dyDescent="0.15">
      <c r="B64" s="44" t="s">
        <v>166</v>
      </c>
      <c r="C64" s="41">
        <f>IF($C$51&lt;25,0,ABS(PPMT($C$50/12,25,$C$51,$C$49)))</f>
        <v>0</v>
      </c>
      <c r="D64" s="41">
        <f>IF($C$51&lt;26,0,ABS(PPMT($C$50/12,26,$C$51,$C$49)))</f>
        <v>0</v>
      </c>
      <c r="E64" s="41">
        <f>IF($C$51&lt;27,0,ABS(PPMT($C$50/12,27,$C$51,$C$49)))</f>
        <v>0</v>
      </c>
      <c r="F64" s="41">
        <f>IF($C$51&lt;28,0,ABS(PPMT($C$50/12,28,$C$51,$C$49)))</f>
        <v>0</v>
      </c>
      <c r="G64" s="41">
        <f>IF($C$51&lt;29,0,ABS(PPMT($C$50/12,29,$C$51,$C$49)))</f>
        <v>0</v>
      </c>
      <c r="H64" s="41">
        <f>IF($C$51&lt;30,0,ABS(PPMT($C$50/12,30,$C$51,$C$49)))</f>
        <v>0</v>
      </c>
      <c r="I64" s="41">
        <f>IF($C$51&lt;31,0,ABS(PPMT($C$50/12,31,$C$51,$C$49)))</f>
        <v>0</v>
      </c>
      <c r="J64" s="41">
        <f>IF($C$51&lt;32,0,ABS(PPMT($C$50/12,32,$C$51,$C$49)))</f>
        <v>0</v>
      </c>
      <c r="K64" s="41">
        <f>IF($C$51&lt;33,0,ABS(PPMT($C$50/12,33,$C$51,$C$49)))</f>
        <v>0</v>
      </c>
      <c r="L64" s="41">
        <f>IF($C$51&lt;34,0,ABS(PPMT($C$50/12,34,$C$51,$C$49)))</f>
        <v>0</v>
      </c>
      <c r="M64" s="41">
        <f>IF($C$51&lt;35,0,ABS(PPMT($C$50/12,35,$C$51,$C$49)))</f>
        <v>0</v>
      </c>
      <c r="N64" s="41">
        <f>IF($C$51&lt;36,0,ABS(PPMT($C$50/12,36,$C$51,$C$49)))</f>
        <v>0</v>
      </c>
      <c r="O64" s="315">
        <f>SUM(C64:N64)</f>
        <v>0</v>
      </c>
      <c r="P64" s="5"/>
      <c r="Q64" s="5"/>
    </row>
    <row r="65" spans="2:17" x14ac:dyDescent="0.15">
      <c r="B65" s="44" t="s">
        <v>167</v>
      </c>
      <c r="C65" s="42">
        <f>N61-C64</f>
        <v>0</v>
      </c>
      <c r="D65" s="42">
        <f t="shared" ref="D65:N65" si="8">C65-D64</f>
        <v>0</v>
      </c>
      <c r="E65" s="42">
        <f t="shared" si="8"/>
        <v>0</v>
      </c>
      <c r="F65" s="42">
        <f t="shared" si="8"/>
        <v>0</v>
      </c>
      <c r="G65" s="42">
        <f t="shared" si="8"/>
        <v>0</v>
      </c>
      <c r="H65" s="42">
        <f t="shared" si="8"/>
        <v>0</v>
      </c>
      <c r="I65" s="42">
        <f t="shared" si="8"/>
        <v>0</v>
      </c>
      <c r="J65" s="42">
        <f t="shared" si="8"/>
        <v>0</v>
      </c>
      <c r="K65" s="42">
        <f t="shared" si="8"/>
        <v>0</v>
      </c>
      <c r="L65" s="42">
        <f t="shared" si="8"/>
        <v>0</v>
      </c>
      <c r="M65" s="42">
        <f t="shared" si="8"/>
        <v>0</v>
      </c>
      <c r="N65" s="42">
        <f t="shared" si="8"/>
        <v>0</v>
      </c>
      <c r="O65" s="37"/>
      <c r="P65" s="5"/>
      <c r="Q65" s="5"/>
    </row>
    <row r="66" spans="2:17" x14ac:dyDescent="0.15">
      <c r="B66" s="9"/>
      <c r="C66" s="9"/>
      <c r="D66" s="5"/>
      <c r="E66" s="5"/>
      <c r="F66" s="5"/>
      <c r="G66" s="5"/>
      <c r="H66" s="5"/>
      <c r="I66" s="5"/>
      <c r="J66" s="5"/>
      <c r="K66" s="5"/>
      <c r="L66" s="5"/>
      <c r="M66" s="5"/>
      <c r="N66" s="5"/>
      <c r="O66" s="5"/>
      <c r="P66" s="5"/>
      <c r="Q66" s="5"/>
    </row>
    <row r="67" spans="2:17" x14ac:dyDescent="0.15">
      <c r="B67" s="9"/>
      <c r="C67" s="9"/>
      <c r="D67" s="5"/>
      <c r="E67" s="5"/>
      <c r="F67" s="5"/>
      <c r="G67" s="5"/>
      <c r="H67" s="5"/>
      <c r="I67" s="5"/>
      <c r="J67" s="5"/>
      <c r="K67" s="5"/>
      <c r="L67" s="5"/>
      <c r="M67" s="5"/>
      <c r="N67" s="5"/>
      <c r="O67" s="5"/>
      <c r="P67" s="5"/>
      <c r="Q67" s="5"/>
    </row>
    <row r="68" spans="2:17" ht="13" thickBot="1" x14ac:dyDescent="0.2">
      <c r="B68" s="506" t="s">
        <v>145</v>
      </c>
      <c r="C68" s="506"/>
      <c r="D68" s="5"/>
      <c r="E68" s="5"/>
      <c r="F68" s="5"/>
      <c r="G68" s="5"/>
      <c r="H68" s="5"/>
      <c r="I68" s="5"/>
      <c r="J68" s="5"/>
      <c r="K68" s="5"/>
      <c r="L68" s="5"/>
      <c r="M68" s="5"/>
      <c r="N68" s="5"/>
      <c r="O68" s="5"/>
      <c r="P68" s="5"/>
      <c r="Q68" s="5"/>
    </row>
    <row r="69" spans="2:17" ht="13" thickTop="1" x14ac:dyDescent="0.15">
      <c r="B69" s="150" t="s">
        <v>161</v>
      </c>
      <c r="C69" s="388">
        <f>VehicleLoan</f>
        <v>84000</v>
      </c>
      <c r="D69" s="5"/>
      <c r="E69" s="5"/>
      <c r="F69" s="5"/>
      <c r="G69" s="5"/>
      <c r="H69" s="5"/>
      <c r="I69" s="5"/>
      <c r="J69" s="5"/>
      <c r="K69" s="5"/>
      <c r="L69" s="5"/>
      <c r="M69" s="5"/>
      <c r="N69" s="5"/>
      <c r="O69" s="5"/>
      <c r="P69" s="5"/>
      <c r="Q69" s="5"/>
    </row>
    <row r="70" spans="2:17" x14ac:dyDescent="0.15">
      <c r="B70" s="26" t="s">
        <v>162</v>
      </c>
      <c r="C70" s="29">
        <f>'1-StartingPoint'!E40</f>
        <v>7.0000000000000007E-2</v>
      </c>
      <c r="D70" s="5"/>
      <c r="E70" s="5"/>
      <c r="F70" s="5"/>
      <c r="G70" s="5"/>
      <c r="H70" s="5"/>
      <c r="I70" s="5"/>
      <c r="J70" s="5"/>
      <c r="K70" s="5"/>
      <c r="L70" s="5"/>
      <c r="M70" s="5"/>
      <c r="N70" s="5"/>
      <c r="O70" s="5"/>
      <c r="P70" s="5"/>
      <c r="Q70" s="5"/>
    </row>
    <row r="71" spans="2:17" x14ac:dyDescent="0.15">
      <c r="B71" s="26" t="s">
        <v>163</v>
      </c>
      <c r="C71" s="27">
        <f>'1-StartingPoint'!F40</f>
        <v>48</v>
      </c>
      <c r="D71" s="5"/>
      <c r="E71" s="5"/>
      <c r="F71" s="5"/>
      <c r="G71" s="5"/>
      <c r="H71" s="5"/>
      <c r="I71" s="5"/>
      <c r="J71" s="5"/>
      <c r="K71" s="5"/>
      <c r="L71" s="5"/>
      <c r="M71" s="5"/>
      <c r="N71" s="5"/>
      <c r="O71" s="5"/>
      <c r="P71" s="5"/>
      <c r="Q71" s="5"/>
    </row>
    <row r="72" spans="2:17" x14ac:dyDescent="0.15">
      <c r="B72" s="26" t="s">
        <v>164</v>
      </c>
      <c r="C72" s="28">
        <f>ABS(PMT(C70/12,C71,C69))</f>
        <v>2011.4845516452042</v>
      </c>
      <c r="D72" s="5"/>
      <c r="E72" s="5"/>
      <c r="F72" s="5"/>
      <c r="G72" s="5"/>
      <c r="H72" s="5"/>
      <c r="I72" s="5"/>
      <c r="J72" s="5"/>
      <c r="K72" s="5"/>
      <c r="L72" s="5"/>
      <c r="M72" s="5"/>
      <c r="N72" s="5"/>
      <c r="O72" s="5"/>
      <c r="P72" s="5"/>
      <c r="Q72" s="5"/>
    </row>
    <row r="73" spans="2:17" x14ac:dyDescent="0.15">
      <c r="B73" s="26"/>
      <c r="C73" s="43" t="str">
        <f>'3a-SalesForecastYear1'!$C$16</f>
        <v>January</v>
      </c>
      <c r="D73" s="43" t="str">
        <f>'3a-SalesForecastYear1'!$D$16</f>
        <v>February</v>
      </c>
      <c r="E73" s="43" t="str">
        <f>'3a-SalesForecastYear1'!$E$16</f>
        <v>March</v>
      </c>
      <c r="F73" s="43" t="str">
        <f>'3a-SalesForecastYear1'!$F$16</f>
        <v>April</v>
      </c>
      <c r="G73" s="43" t="str">
        <f>'3a-SalesForecastYear1'!$G$16</f>
        <v>May</v>
      </c>
      <c r="H73" s="43" t="str">
        <f>'3a-SalesForecastYear1'!$H$16</f>
        <v>June</v>
      </c>
      <c r="I73" s="43" t="str">
        <f>'3a-SalesForecastYear1'!$I$16</f>
        <v>July</v>
      </c>
      <c r="J73" s="43" t="str">
        <f>'3a-SalesForecastYear1'!$J$16</f>
        <v>August</v>
      </c>
      <c r="K73" s="43" t="str">
        <f>'3a-SalesForecastYear1'!$K$16</f>
        <v>September</v>
      </c>
      <c r="L73" s="43" t="str">
        <f>'3a-SalesForecastYear1'!$L$16</f>
        <v>October</v>
      </c>
      <c r="M73" s="43" t="str">
        <f>'3a-SalesForecastYear1'!$M$16</f>
        <v>November</v>
      </c>
      <c r="N73" s="43" t="str">
        <f>'3a-SalesForecastYear1'!$N$16</f>
        <v>December</v>
      </c>
      <c r="O73" s="43" t="s">
        <v>8</v>
      </c>
      <c r="P73" s="5"/>
      <c r="Q73" s="5"/>
    </row>
    <row r="74" spans="2:17" x14ac:dyDescent="0.15">
      <c r="B74" s="26" t="s">
        <v>165</v>
      </c>
      <c r="C74" s="7"/>
      <c r="D74" s="7"/>
      <c r="E74" s="7"/>
      <c r="F74" s="7"/>
      <c r="G74" s="7"/>
      <c r="H74" s="7"/>
      <c r="I74" s="7"/>
      <c r="J74" s="7"/>
      <c r="K74" s="7"/>
      <c r="L74" s="7"/>
      <c r="M74" s="7"/>
      <c r="N74" s="7"/>
      <c r="O74" s="7"/>
      <c r="P74" s="5"/>
      <c r="Q74" s="5"/>
    </row>
    <row r="75" spans="2:17" x14ac:dyDescent="0.15">
      <c r="B75" s="45" t="s">
        <v>58</v>
      </c>
      <c r="C75" s="41">
        <f>ABS(IPMT($C$70/12,1,$C$71,$C$69))</f>
        <v>490</v>
      </c>
      <c r="D75" s="41">
        <f>ABS(IPMT($C$70/12,2,$C$71,$C$69))</f>
        <v>481.1246734487363</v>
      </c>
      <c r="E75" s="41">
        <f>ABS(IPMT($C$70/12,3,$C$71,$C$69))</f>
        <v>472.19757415925704</v>
      </c>
      <c r="F75" s="41">
        <f>ABS(IPMT($C$70/12,4,$C$71,$C$69))</f>
        <v>463.21840012392227</v>
      </c>
      <c r="G75" s="41">
        <f>ABS(IPMT($C$70/12,5,$C$71,$C$69))</f>
        <v>454.18684757338144</v>
      </c>
      <c r="H75" s="41">
        <f>ABS(IPMT($C$70/12,6,$C$71,$C$69))</f>
        <v>445.1026109662958</v>
      </c>
      <c r="I75" s="41">
        <f>ABS(IPMT($C$70/12,7,$C$71,$C$69))</f>
        <v>435.96538297900213</v>
      </c>
      <c r="J75" s="41">
        <f>ABS(IPMT($C$70/12,8,$C$71,$C$69))</f>
        <v>426.77485449511596</v>
      </c>
      <c r="K75" s="41">
        <f>ABS(IPMT($C$70/12,9,$C$71,$C$69))</f>
        <v>417.53071459507379</v>
      </c>
      <c r="L75" s="41">
        <f>ABS(IPMT($C$70/12,10,$C$71,$C$69))</f>
        <v>408.23265054561466</v>
      </c>
      <c r="M75" s="41">
        <f>ABS(IPMT($C$70/12,11,$C$71,$C$69))</f>
        <v>398.88034778920041</v>
      </c>
      <c r="N75" s="41">
        <f>ABS(IPMT($C$70/12,12,$C$71,$C$69))</f>
        <v>389.47348993337374</v>
      </c>
      <c r="O75" s="315">
        <f>SUM(C75:N75)</f>
        <v>5282.6875466089732</v>
      </c>
      <c r="P75" s="5"/>
      <c r="Q75" s="5"/>
    </row>
    <row r="76" spans="2:17" x14ac:dyDescent="0.15">
      <c r="B76" s="45" t="s">
        <v>166</v>
      </c>
      <c r="C76" s="41">
        <f>ABS(PPMT($C$70/12,1,$C$71,$C$69))</f>
        <v>1521.4845516452042</v>
      </c>
      <c r="D76" s="41">
        <f>ABS(PPMT($C$70/12,2,$C$71,$C$69))</f>
        <v>1530.3598781964677</v>
      </c>
      <c r="E76" s="41">
        <f>ABS(PPMT($C$70/12,3,$C$71,$C$69))</f>
        <v>1539.2869774859473</v>
      </c>
      <c r="F76" s="41">
        <f>ABS(PPMT($C$70/12,4,$C$71,$C$69))</f>
        <v>1548.2661515212822</v>
      </c>
      <c r="G76" s="41">
        <f>ABS(PPMT($C$70/12,5,$C$71,$C$69))</f>
        <v>1557.2977040718226</v>
      </c>
      <c r="H76" s="41">
        <f>ABS(PPMT($C$70/12,6,$C$71,$C$69))</f>
        <v>1566.3819406789084</v>
      </c>
      <c r="I76" s="41">
        <f>ABS(PPMT($C$70/12,7,$C$71,$C$69))</f>
        <v>1575.5191686662019</v>
      </c>
      <c r="J76" s="41">
        <f>ABS(PPMT($C$70/12,8,$C$71,$C$69))</f>
        <v>1584.7096971500882</v>
      </c>
      <c r="K76" s="41">
        <f>ABS(PPMT($C$70/12,9,$C$71,$C$69))</f>
        <v>1593.9538370501305</v>
      </c>
      <c r="L76" s="41">
        <f>ABS(PPMT($C$70/12,10,$C$71,$C$69))</f>
        <v>1603.2519010995895</v>
      </c>
      <c r="M76" s="41">
        <f>ABS(PPMT($C$70/12,11,$C$71,$C$69))</f>
        <v>1612.6042038560038</v>
      </c>
      <c r="N76" s="41">
        <f>ABS(PPMT($C$70/12,12,$C$71,$C$69))</f>
        <v>1622.0110617118305</v>
      </c>
      <c r="O76" s="315">
        <f>SUM(C76:N76)</f>
        <v>18855.127073133477</v>
      </c>
      <c r="P76" s="5"/>
      <c r="Q76" s="5"/>
    </row>
    <row r="77" spans="2:17" x14ac:dyDescent="0.15">
      <c r="B77" s="44" t="s">
        <v>167</v>
      </c>
      <c r="C77" s="42">
        <f>$C$69-C76</f>
        <v>82478.515448354796</v>
      </c>
      <c r="D77" s="42">
        <f t="shared" ref="D77:N77" si="9">C77-D76</f>
        <v>80948.155570158327</v>
      </c>
      <c r="E77" s="42">
        <f t="shared" si="9"/>
        <v>79408.868592672385</v>
      </c>
      <c r="F77" s="42">
        <f t="shared" si="9"/>
        <v>77860.602441151103</v>
      </c>
      <c r="G77" s="42">
        <f t="shared" si="9"/>
        <v>76303.304737079277</v>
      </c>
      <c r="H77" s="42">
        <f t="shared" si="9"/>
        <v>74736.922796400366</v>
      </c>
      <c r="I77" s="42">
        <f t="shared" si="9"/>
        <v>73161.403627734166</v>
      </c>
      <c r="J77" s="42">
        <f t="shared" si="9"/>
        <v>71576.693930584079</v>
      </c>
      <c r="K77" s="42">
        <f t="shared" si="9"/>
        <v>69982.740093533954</v>
      </c>
      <c r="L77" s="42">
        <f t="shared" si="9"/>
        <v>68379.488192434364</v>
      </c>
      <c r="M77" s="42">
        <f t="shared" si="9"/>
        <v>66766.883988578367</v>
      </c>
      <c r="N77" s="42">
        <f t="shared" si="9"/>
        <v>65144.872926866534</v>
      </c>
      <c r="O77" s="37"/>
      <c r="P77" s="5"/>
      <c r="Q77" s="5"/>
    </row>
    <row r="78" spans="2:17" x14ac:dyDescent="0.15">
      <c r="B78" s="26" t="s">
        <v>168</v>
      </c>
      <c r="C78" s="38"/>
      <c r="D78" s="38"/>
      <c r="E78" s="38"/>
      <c r="F78" s="38"/>
      <c r="G78" s="38"/>
      <c r="H78" s="38"/>
      <c r="I78" s="38"/>
      <c r="J78" s="38"/>
      <c r="K78" s="38"/>
      <c r="L78" s="38"/>
      <c r="M78" s="38"/>
      <c r="N78" s="38"/>
      <c r="O78" s="38"/>
      <c r="P78" s="5"/>
      <c r="Q78" s="5"/>
    </row>
    <row r="79" spans="2:17" x14ac:dyDescent="0.15">
      <c r="B79" s="44" t="s">
        <v>58</v>
      </c>
      <c r="C79" s="41">
        <f>IF($C$71&lt;13,0,ABS(IPMT($C$70/12,13,$C$71,$C$69)))</f>
        <v>380.0117587400548</v>
      </c>
      <c r="D79" s="41">
        <f>IF($C$71&lt;14,0,ABS(IPMT($C$70/12,14,$C$71,$C$69)))</f>
        <v>370.49483411477468</v>
      </c>
      <c r="E79" s="41">
        <f>IF($C$71&lt;15,0,ABS(IPMT($C$70/12,15,$C$71,$C$69)))</f>
        <v>360.92239409584721</v>
      </c>
      <c r="F79" s="41">
        <f>IF($C$71&lt;16,0,ABS(IPMT($C$70/12,16,$C$71,$C$69)))</f>
        <v>351.29411484347594</v>
      </c>
      <c r="G79" s="41">
        <f>IF($C$71&lt;17,0,ABS(IPMT($C$70/12,17,$C$71,$C$69)))</f>
        <v>341.60967062879922</v>
      </c>
      <c r="H79" s="41">
        <f>IF($C$71&lt;18,0,ABS(IPMT($C$70/12,18,$C$71,$C$69)))</f>
        <v>331.86873382287013</v>
      </c>
      <c r="I79" s="41">
        <f>IF($C$71&lt;19,0,ABS(IPMT($C$70/12,19,$C$71,$C$69)))</f>
        <v>322.07097488557321</v>
      </c>
      <c r="J79" s="41">
        <f>IF($C$71&lt;20,0,ABS(IPMT($C$70/12,20,$C$71,$C$69)))</f>
        <v>312.21606235447535</v>
      </c>
      <c r="K79" s="41">
        <f>IF($C$71&lt;21,0,ABS(IPMT($C$70/12,21,$C$71,$C$69)))</f>
        <v>302.30366283361275</v>
      </c>
      <c r="L79" s="41">
        <f>IF($C$71&lt;22,0,ABS(IPMT($C$70/12,22,$C$71,$C$69)))</f>
        <v>292.33344098221175</v>
      </c>
      <c r="M79" s="41">
        <f>IF($C$71&lt;23,0,ABS(IPMT($C$70/12,23,$C$71,$C$69)))</f>
        <v>282.30505950334435</v>
      </c>
      <c r="N79" s="41">
        <f>IF($C$71&lt;24,0,ABS(IPMT($C$70/12,24,$C$71,$C$69)))</f>
        <v>272.21817913251687</v>
      </c>
      <c r="O79" s="315">
        <f>SUM(C79:N79)</f>
        <v>3919.6488859375568</v>
      </c>
      <c r="P79" s="5"/>
      <c r="Q79" s="5"/>
    </row>
    <row r="80" spans="2:17" x14ac:dyDescent="0.15">
      <c r="B80" s="44" t="s">
        <v>166</v>
      </c>
      <c r="C80" s="41">
        <f>IF($C$71&lt;13,0,ABS(PPMT($C$70/12,13,$C$71,$C$69)))</f>
        <v>1631.4727929051494</v>
      </c>
      <c r="D80" s="41">
        <f>IF($C$71&lt;14,0,ABS(PPMT($C$70/12,14,$C$71,$C$69)))</f>
        <v>1640.9897175304293</v>
      </c>
      <c r="E80" s="41">
        <f>IF($C$71&lt;15,0,ABS(PPMT($C$70/12,15,$C$71,$C$69)))</f>
        <v>1650.5621575493569</v>
      </c>
      <c r="F80" s="41">
        <f>IF($C$71&lt;16,0,ABS(PPMT($C$70/12,16,$C$71,$C$69)))</f>
        <v>1660.1904368017281</v>
      </c>
      <c r="G80" s="41">
        <f>IF($C$71&lt;17,0,ABS(PPMT($C$70/12,17,$C$71,$C$69)))</f>
        <v>1669.8748810164052</v>
      </c>
      <c r="H80" s="41">
        <f>IF($C$71&lt;18,0,ABS(PPMT($C$70/12,18,$C$71,$C$69)))</f>
        <v>1679.6158178223341</v>
      </c>
      <c r="I80" s="41">
        <f>IF($C$71&lt;19,0,ABS(PPMT($C$70/12,19,$C$71,$C$69)))</f>
        <v>1689.413576759631</v>
      </c>
      <c r="J80" s="41">
        <f>IF($C$71&lt;20,0,ABS(PPMT($C$70/12,20,$C$71,$C$69)))</f>
        <v>1699.2684892907289</v>
      </c>
      <c r="K80" s="41">
        <f>IF($C$71&lt;21,0,ABS(PPMT($C$70/12,21,$C$71,$C$69)))</f>
        <v>1709.1808888115913</v>
      </c>
      <c r="L80" s="41">
        <f>IF($C$71&lt;22,0,ABS(PPMT($C$70/12,22,$C$71,$C$69)))</f>
        <v>1719.1511106629923</v>
      </c>
      <c r="M80" s="41">
        <f>IF($C$71&lt;23,0,ABS(PPMT($C$70/12,23,$C$71,$C$69)))</f>
        <v>1729.1794921418596</v>
      </c>
      <c r="N80" s="41">
        <f>IF($C$71&lt;24,0,ABS(PPMT($C$70/12,24,$C$71,$C$69)))</f>
        <v>1739.2663725126872</v>
      </c>
      <c r="O80" s="315">
        <f>SUM(C80:N80)</f>
        <v>20218.165733804894</v>
      </c>
      <c r="P80" s="5"/>
      <c r="Q80" s="5"/>
    </row>
    <row r="81" spans="2:17" x14ac:dyDescent="0.15">
      <c r="B81" s="44" t="s">
        <v>167</v>
      </c>
      <c r="C81" s="42">
        <f>N77-C80</f>
        <v>63513.400133961382</v>
      </c>
      <c r="D81" s="42">
        <f t="shared" ref="D81:N81" si="10">C81-D80</f>
        <v>61872.410416430954</v>
      </c>
      <c r="E81" s="42">
        <f t="shared" si="10"/>
        <v>60221.848258881597</v>
      </c>
      <c r="F81" s="42">
        <f t="shared" si="10"/>
        <v>58561.657822079869</v>
      </c>
      <c r="G81" s="42">
        <f t="shared" si="10"/>
        <v>56891.782941063466</v>
      </c>
      <c r="H81" s="42">
        <f t="shared" si="10"/>
        <v>55212.167123241132</v>
      </c>
      <c r="I81" s="42">
        <f t="shared" si="10"/>
        <v>53522.753546481501</v>
      </c>
      <c r="J81" s="42">
        <f t="shared" si="10"/>
        <v>51823.485057190774</v>
      </c>
      <c r="K81" s="42">
        <f t="shared" si="10"/>
        <v>50114.304168379182</v>
      </c>
      <c r="L81" s="42">
        <f t="shared" si="10"/>
        <v>48395.15305771619</v>
      </c>
      <c r="M81" s="42">
        <f t="shared" si="10"/>
        <v>46665.973565574328</v>
      </c>
      <c r="N81" s="42">
        <f t="shared" si="10"/>
        <v>44926.707193061644</v>
      </c>
      <c r="O81" s="37"/>
      <c r="P81" s="5"/>
      <c r="Q81" s="5"/>
    </row>
    <row r="82" spans="2:17" x14ac:dyDescent="0.15">
      <c r="B82" s="26" t="s">
        <v>169</v>
      </c>
      <c r="C82" s="38"/>
      <c r="D82" s="38"/>
      <c r="E82" s="38"/>
      <c r="F82" s="38"/>
      <c r="G82" s="38"/>
      <c r="H82" s="38"/>
      <c r="I82" s="38"/>
      <c r="J82" s="38"/>
      <c r="K82" s="38"/>
      <c r="L82" s="38"/>
      <c r="M82" s="38"/>
      <c r="N82" s="38"/>
      <c r="O82" s="38"/>
      <c r="P82" s="5"/>
      <c r="Q82" s="5"/>
    </row>
    <row r="83" spans="2:17" x14ac:dyDescent="0.15">
      <c r="B83" s="44" t="s">
        <v>58</v>
      </c>
      <c r="C83" s="41">
        <f>IF($C$71&lt;25,0,ABS(IPMT($C$70/12,25,$C$71,$C$69)))</f>
        <v>262.07245862619288</v>
      </c>
      <c r="D83" s="41">
        <f>IF($C$71&lt;26,0,ABS(IPMT($C$70/12,26,$C$71,$C$69)))</f>
        <v>251.86755475024859</v>
      </c>
      <c r="E83" s="41">
        <f>IF($C$71&lt;27,0,ABS(IPMT($C$70/12,27,$C$71,$C$69)))</f>
        <v>241.60312226836135</v>
      </c>
      <c r="F83" s="41">
        <f>IF($C$71&lt;28,0,ABS(IPMT($C$70/12,28,$C$71,$C$69)))</f>
        <v>231.27881393032979</v>
      </c>
      <c r="G83" s="41">
        <f>IF($C$71&lt;29,0,ABS(IPMT($C$70/12,29,$C$71,$C$69)))</f>
        <v>220.89428046032631</v>
      </c>
      <c r="H83" s="41">
        <f>IF($C$71&lt;30,0,ABS(IPMT($C$70/12,30,$C$71,$C$69)))</f>
        <v>210.44917054508122</v>
      </c>
      <c r="I83" s="41">
        <f>IF($C$71&lt;31,0,ABS(IPMT($C$70/12,31,$C$71,$C$69)))</f>
        <v>199.94313082199719</v>
      </c>
      <c r="J83" s="41">
        <f>IF($C$71&lt;32,0,ABS(IPMT($C$70/12,32,$C$71,$C$69)))</f>
        <v>189.37580586719517</v>
      </c>
      <c r="K83" s="41">
        <f>IF($C$71&lt;33,0,ABS(IPMT($C$70/12,33,$C$71,$C$69)))</f>
        <v>178.7468381834901</v>
      </c>
      <c r="L83" s="41">
        <f>IF($C$71&lt;34,0,ABS(IPMT($C$70/12,34,$C$71,$C$69)))</f>
        <v>168.05586818829676</v>
      </c>
      <c r="M83" s="41">
        <f>IF($C$71&lt;34,0,ABS(IPMT($C$70/12,35,$C$71,$C$69)))</f>
        <v>157.30253420146479</v>
      </c>
      <c r="N83" s="41">
        <f>IF($C$71&lt;36,0,ABS(IPMT($C$70/12,36,$C$71,$C$69)))</f>
        <v>146.48647243304299</v>
      </c>
      <c r="O83" s="315">
        <f>SUM(C83:N83)</f>
        <v>2458.0760502760268</v>
      </c>
      <c r="P83" s="5"/>
      <c r="Q83" s="5"/>
    </row>
    <row r="84" spans="2:17" x14ac:dyDescent="0.15">
      <c r="B84" s="44" t="s">
        <v>166</v>
      </c>
      <c r="C84" s="41">
        <f>IF($C$71&lt;25,0,ABS(PPMT($C$70/12,25,$C$71,$C$69)))</f>
        <v>1749.4120930190115</v>
      </c>
      <c r="D84" s="41">
        <f>IF($C$71&lt;26,0,ABS(PPMT($C$70/12,26,$C$71,$C$69)))</f>
        <v>1759.6169968949553</v>
      </c>
      <c r="E84" s="41">
        <f>IF($C$71&lt;27,0,ABS(PPMT($C$70/12,27,$C$71,$C$69)))</f>
        <v>1769.8814293768428</v>
      </c>
      <c r="F84" s="41">
        <f>IF($C$71&lt;28,0,ABS(PPMT($C$70/12,28,$C$71,$C$69)))</f>
        <v>1780.2057377148744</v>
      </c>
      <c r="G84" s="41">
        <f>IF($C$71&lt;29,0,ABS(PPMT($C$70/12,29,$C$71,$C$69)))</f>
        <v>1790.590271184878</v>
      </c>
      <c r="H84" s="41">
        <f>IF($C$71&lt;30,0,ABS(PPMT($C$70/12,30,$C$71,$C$69)))</f>
        <v>1801.035381100123</v>
      </c>
      <c r="I84" s="41">
        <f>IF($C$71&lt;31,0,ABS(PPMT($C$70/12,31,$C$71,$C$69)))</f>
        <v>1811.5414208232071</v>
      </c>
      <c r="J84" s="41">
        <f>IF($C$71&lt;32,0,ABS(PPMT($C$70/12,32,$C$71,$C$69)))</f>
        <v>1822.1087457780091</v>
      </c>
      <c r="K84" s="41">
        <f>IF($C$71&lt;33,0,ABS(PPMT($C$70/12,33,$C$71,$C$69)))</f>
        <v>1832.7377134617138</v>
      </c>
      <c r="L84" s="41">
        <f>IF($C$71&lt;34,0,ABS(PPMT($C$70/12,34,$C$71,$C$69)))</f>
        <v>1843.4286834569075</v>
      </c>
      <c r="M84" s="41">
        <f>ABS(PPMT($C$70/12,35,$C$71,$C$69))</f>
        <v>1854.1820174437394</v>
      </c>
      <c r="N84" s="41">
        <f>IF($C$71&lt;36,0,ABS(PPMT($C$70/12,36,$C$71,$C$69)))</f>
        <v>1864.998079212161</v>
      </c>
      <c r="O84" s="315">
        <f>SUM(C84:N84)</f>
        <v>21679.738569466419</v>
      </c>
      <c r="P84" s="5"/>
      <c r="Q84" s="5"/>
    </row>
    <row r="85" spans="2:17" x14ac:dyDescent="0.15">
      <c r="B85" s="44" t="s">
        <v>167</v>
      </c>
      <c r="C85" s="42">
        <f>N81-C84</f>
        <v>43177.295100042633</v>
      </c>
      <c r="D85" s="42">
        <f t="shared" ref="D85:N85" si="11">C85-D84</f>
        <v>41417.678103147678</v>
      </c>
      <c r="E85" s="42">
        <f t="shared" si="11"/>
        <v>39647.796673770834</v>
      </c>
      <c r="F85" s="42">
        <f t="shared" si="11"/>
        <v>37867.59093605596</v>
      </c>
      <c r="G85" s="42">
        <f t="shared" si="11"/>
        <v>36077.000664871084</v>
      </c>
      <c r="H85" s="42">
        <f t="shared" si="11"/>
        <v>34275.965283770958</v>
      </c>
      <c r="I85" s="42">
        <f t="shared" si="11"/>
        <v>32464.423862947751</v>
      </c>
      <c r="J85" s="42">
        <f t="shared" si="11"/>
        <v>30642.315117169743</v>
      </c>
      <c r="K85" s="42">
        <f t="shared" si="11"/>
        <v>28809.57740370803</v>
      </c>
      <c r="L85" s="42">
        <f t="shared" si="11"/>
        <v>26966.148720251123</v>
      </c>
      <c r="M85" s="42">
        <f t="shared" si="11"/>
        <v>25111.966702807385</v>
      </c>
      <c r="N85" s="42">
        <f t="shared" si="11"/>
        <v>23246.968623595225</v>
      </c>
      <c r="O85" s="37"/>
      <c r="P85" s="5"/>
      <c r="Q85" s="5"/>
    </row>
    <row r="86" spans="2:17" x14ac:dyDescent="0.15">
      <c r="B86" s="9"/>
      <c r="C86" s="9"/>
      <c r="D86" s="5"/>
      <c r="E86" s="5"/>
      <c r="F86" s="5"/>
      <c r="G86" s="5"/>
      <c r="H86" s="5"/>
      <c r="I86" s="5"/>
      <c r="J86" s="5"/>
      <c r="K86" s="5"/>
      <c r="L86" s="5"/>
      <c r="M86" s="5"/>
      <c r="N86" s="5"/>
      <c r="O86" s="5"/>
      <c r="P86" s="5"/>
      <c r="Q86" s="5"/>
    </row>
    <row r="87" spans="2:17" x14ac:dyDescent="0.15">
      <c r="B87" s="9"/>
      <c r="C87" s="9"/>
      <c r="D87" s="5"/>
      <c r="E87" s="5"/>
      <c r="F87" s="5"/>
      <c r="G87" s="5"/>
      <c r="H87" s="5"/>
      <c r="I87" s="5"/>
      <c r="J87" s="5"/>
      <c r="K87" s="5"/>
      <c r="L87" s="5"/>
      <c r="M87" s="5"/>
      <c r="N87" s="5"/>
      <c r="O87" s="5"/>
      <c r="P87" s="5"/>
      <c r="Q87" s="5"/>
    </row>
    <row r="88" spans="2:17" ht="13" thickBot="1" x14ac:dyDescent="0.2">
      <c r="B88" s="506" t="s">
        <v>146</v>
      </c>
      <c r="C88" s="506"/>
      <c r="D88" s="5"/>
      <c r="E88" s="5"/>
      <c r="F88" s="5"/>
      <c r="G88" s="5"/>
      <c r="H88" s="5"/>
      <c r="I88" s="5"/>
      <c r="J88" s="5"/>
      <c r="K88" s="5"/>
      <c r="L88" s="5"/>
      <c r="M88" s="5"/>
      <c r="N88" s="5"/>
      <c r="O88" s="5"/>
      <c r="P88" s="5"/>
      <c r="Q88" s="5"/>
    </row>
    <row r="89" spans="2:17" ht="13" thickTop="1" x14ac:dyDescent="0.15">
      <c r="B89" s="150" t="s">
        <v>161</v>
      </c>
      <c r="C89" s="389">
        <f>OtherBankDebt</f>
        <v>0</v>
      </c>
      <c r="D89" s="5"/>
      <c r="E89" s="5"/>
      <c r="F89" s="5"/>
      <c r="G89" s="5"/>
      <c r="H89" s="5"/>
      <c r="I89" s="5"/>
      <c r="J89" s="5"/>
      <c r="K89" s="5"/>
      <c r="L89" s="5"/>
      <c r="M89" s="5"/>
      <c r="N89" s="5"/>
      <c r="O89" s="5"/>
      <c r="P89" s="5"/>
      <c r="Q89" s="5"/>
    </row>
    <row r="90" spans="2:17" x14ac:dyDescent="0.15">
      <c r="B90" s="26" t="s">
        <v>162</v>
      </c>
      <c r="C90" s="29">
        <f>'1-StartingPoint'!E41</f>
        <v>0.05</v>
      </c>
      <c r="D90" s="5"/>
      <c r="E90" s="5"/>
      <c r="F90" s="5"/>
      <c r="G90" s="5"/>
      <c r="H90" s="5"/>
      <c r="I90" s="5"/>
      <c r="J90" s="5"/>
      <c r="K90" s="5"/>
      <c r="L90" s="5"/>
      <c r="M90" s="5"/>
      <c r="N90" s="5"/>
      <c r="O90" s="5"/>
      <c r="P90" s="5"/>
      <c r="Q90" s="5"/>
    </row>
    <row r="91" spans="2:17" x14ac:dyDescent="0.15">
      <c r="B91" s="26" t="s">
        <v>163</v>
      </c>
      <c r="C91" s="27">
        <f>'1-StartingPoint'!F41</f>
        <v>36</v>
      </c>
      <c r="D91" s="5"/>
      <c r="E91" s="5"/>
      <c r="F91" s="5"/>
      <c r="G91" s="5"/>
      <c r="H91" s="5"/>
      <c r="I91" s="5"/>
      <c r="J91" s="5"/>
      <c r="K91" s="5"/>
      <c r="L91" s="5"/>
      <c r="M91" s="5"/>
      <c r="N91" s="5"/>
      <c r="O91" s="5"/>
      <c r="P91" s="5"/>
      <c r="Q91" s="5"/>
    </row>
    <row r="92" spans="2:17" x14ac:dyDescent="0.15">
      <c r="B92" s="26" t="s">
        <v>164</v>
      </c>
      <c r="C92" s="28">
        <f>ABS(PMT(C90/12,C91,C89))</f>
        <v>0</v>
      </c>
      <c r="D92" s="5"/>
      <c r="E92" s="5"/>
      <c r="F92" s="5"/>
      <c r="G92" s="5"/>
      <c r="H92" s="5"/>
      <c r="I92" s="5"/>
      <c r="J92" s="5"/>
      <c r="K92" s="5"/>
      <c r="L92" s="5"/>
      <c r="M92" s="5"/>
      <c r="N92" s="5"/>
      <c r="O92" s="5"/>
      <c r="P92" s="5"/>
      <c r="Q92" s="5"/>
    </row>
    <row r="93" spans="2:17" x14ac:dyDescent="0.15">
      <c r="B93" s="26"/>
      <c r="C93" s="43" t="str">
        <f>'3a-SalesForecastYear1'!$C$16</f>
        <v>January</v>
      </c>
      <c r="D93" s="43" t="str">
        <f>'3a-SalesForecastYear1'!$D$16</f>
        <v>February</v>
      </c>
      <c r="E93" s="43" t="str">
        <f>'3a-SalesForecastYear1'!$E$16</f>
        <v>March</v>
      </c>
      <c r="F93" s="43" t="str">
        <f>'3a-SalesForecastYear1'!$F$16</f>
        <v>April</v>
      </c>
      <c r="G93" s="43" t="str">
        <f>'3a-SalesForecastYear1'!$G$16</f>
        <v>May</v>
      </c>
      <c r="H93" s="43" t="str">
        <f>'3a-SalesForecastYear1'!$H$16</f>
        <v>June</v>
      </c>
      <c r="I93" s="43" t="str">
        <f>'3a-SalesForecastYear1'!$I$16</f>
        <v>July</v>
      </c>
      <c r="J93" s="43" t="str">
        <f>'3a-SalesForecastYear1'!$J$16</f>
        <v>August</v>
      </c>
      <c r="K93" s="43" t="str">
        <f>'3a-SalesForecastYear1'!$K$16</f>
        <v>September</v>
      </c>
      <c r="L93" s="43" t="str">
        <f>'3a-SalesForecastYear1'!$L$16</f>
        <v>October</v>
      </c>
      <c r="M93" s="43" t="str">
        <f>'3a-SalesForecastYear1'!$M$16</f>
        <v>November</v>
      </c>
      <c r="N93" s="43" t="str">
        <f>'3a-SalesForecastYear1'!$N$16</f>
        <v>December</v>
      </c>
      <c r="O93" s="43" t="s">
        <v>8</v>
      </c>
      <c r="P93" s="5"/>
      <c r="Q93" s="5"/>
    </row>
    <row r="94" spans="2:17" x14ac:dyDescent="0.15">
      <c r="B94" s="26" t="s">
        <v>165</v>
      </c>
      <c r="C94" s="7"/>
      <c r="D94" s="7"/>
      <c r="E94" s="7"/>
      <c r="F94" s="7"/>
      <c r="G94" s="7"/>
      <c r="H94" s="7"/>
      <c r="I94" s="7"/>
      <c r="J94" s="7"/>
      <c r="K94" s="7"/>
      <c r="L94" s="7"/>
      <c r="M94" s="7"/>
      <c r="N94" s="7"/>
      <c r="O94" s="7"/>
      <c r="P94" s="5"/>
      <c r="Q94" s="5"/>
    </row>
    <row r="95" spans="2:17" x14ac:dyDescent="0.15">
      <c r="B95" s="44" t="s">
        <v>58</v>
      </c>
      <c r="C95" s="41">
        <f>ABS(IPMT($C$90/12,1,$C$91,$C$89))</f>
        <v>0</v>
      </c>
      <c r="D95" s="41">
        <f>ABS(IPMT($C$90/12,2,$C$91,$C$89))</f>
        <v>0</v>
      </c>
      <c r="E95" s="41">
        <f>ABS(IPMT($C$90/12,3,$C$91,$C$89))</f>
        <v>0</v>
      </c>
      <c r="F95" s="41">
        <f>ABS(IPMT($C$90/12,4,$C$91,$C$89))</f>
        <v>0</v>
      </c>
      <c r="G95" s="41">
        <f>ABS(IPMT($C$90/12,5,$C$91,$C$89))</f>
        <v>0</v>
      </c>
      <c r="H95" s="41">
        <f>ABS(IPMT($C$90/12,6,$C$91,$C$89))</f>
        <v>0</v>
      </c>
      <c r="I95" s="41">
        <f>ABS(IPMT($C$90/12,7,$C$91,$C$89))</f>
        <v>0</v>
      </c>
      <c r="J95" s="41">
        <f>ABS(IPMT($C$90/12,8,$C$91,$C$89))</f>
        <v>0</v>
      </c>
      <c r="K95" s="41">
        <f>ABS(IPMT($C$90/12,9,$C$91,$C$89))</f>
        <v>0</v>
      </c>
      <c r="L95" s="41">
        <f>ABS(IPMT($C$90/12,10,$C$91,$C$89))</f>
        <v>0</v>
      </c>
      <c r="M95" s="41">
        <f>ABS(IPMT($C$90/12,11,$C$91,$C$89))</f>
        <v>0</v>
      </c>
      <c r="N95" s="41">
        <f>ABS(IPMT($C$90/12,12,$C$91,$C$89))</f>
        <v>0</v>
      </c>
      <c r="O95" s="315">
        <f>SUM(C95:N95)</f>
        <v>0</v>
      </c>
      <c r="P95" s="5"/>
      <c r="Q95" s="5"/>
    </row>
    <row r="96" spans="2:17" x14ac:dyDescent="0.15">
      <c r="B96" s="44" t="s">
        <v>166</v>
      </c>
      <c r="C96" s="41">
        <f>ABS(PPMT($C$90/12,1,$C$91,$C$89))</f>
        <v>0</v>
      </c>
      <c r="D96" s="41">
        <f>ABS(PPMT($C$90/12,2,$C$91,$C$89))</f>
        <v>0</v>
      </c>
      <c r="E96" s="41">
        <f>ABS(PPMT($C$90/12,3,$C$91,$C$89))</f>
        <v>0</v>
      </c>
      <c r="F96" s="41">
        <f>ABS(PPMT($C$90/12,4,$C$91,$C$89))</f>
        <v>0</v>
      </c>
      <c r="G96" s="41">
        <f>ABS(PPMT($C$90/12,5,$C$91,$C$89))</f>
        <v>0</v>
      </c>
      <c r="H96" s="41">
        <f>ABS(PPMT($C$90/12,6,$C$91,$C$89))</f>
        <v>0</v>
      </c>
      <c r="I96" s="41">
        <f>ABS(PPMT($C$90/12,7,$C$91,$C$89))</f>
        <v>0</v>
      </c>
      <c r="J96" s="41">
        <f>ABS(PPMT($C$90/12,8,$C$91,$C$89))</f>
        <v>0</v>
      </c>
      <c r="K96" s="41">
        <f>ABS(PPMT($C$90/12,9,$C$91,$C$89))</f>
        <v>0</v>
      </c>
      <c r="L96" s="41">
        <f>ABS(PPMT($C$90/12,10,$C$91,$C$89))</f>
        <v>0</v>
      </c>
      <c r="M96" s="41">
        <f>ABS(PPMT($C$90/12,11,$C$91,$C$89))</f>
        <v>0</v>
      </c>
      <c r="N96" s="41">
        <f>ABS(PPMT($C$90/12,12,$C$91,$C$89))</f>
        <v>0</v>
      </c>
      <c r="O96" s="315">
        <f>SUM(C96:N96)</f>
        <v>0</v>
      </c>
      <c r="P96" s="5"/>
      <c r="Q96" s="5"/>
    </row>
    <row r="97" spans="2:17" x14ac:dyDescent="0.15">
      <c r="B97" s="44" t="s">
        <v>167</v>
      </c>
      <c r="C97" s="42">
        <f>$C$89-C96</f>
        <v>0</v>
      </c>
      <c r="D97" s="42">
        <f t="shared" ref="D97:N97" si="12">C97-D96</f>
        <v>0</v>
      </c>
      <c r="E97" s="42">
        <f t="shared" si="12"/>
        <v>0</v>
      </c>
      <c r="F97" s="42">
        <f t="shared" si="12"/>
        <v>0</v>
      </c>
      <c r="G97" s="42">
        <f t="shared" si="12"/>
        <v>0</v>
      </c>
      <c r="H97" s="42">
        <f t="shared" si="12"/>
        <v>0</v>
      </c>
      <c r="I97" s="42">
        <f t="shared" si="12"/>
        <v>0</v>
      </c>
      <c r="J97" s="42">
        <f t="shared" si="12"/>
        <v>0</v>
      </c>
      <c r="K97" s="42">
        <f t="shared" si="12"/>
        <v>0</v>
      </c>
      <c r="L97" s="42">
        <f t="shared" si="12"/>
        <v>0</v>
      </c>
      <c r="M97" s="42">
        <f t="shared" si="12"/>
        <v>0</v>
      </c>
      <c r="N97" s="42">
        <f t="shared" si="12"/>
        <v>0</v>
      </c>
      <c r="O97" s="37"/>
      <c r="P97" s="5"/>
      <c r="Q97" s="5"/>
    </row>
    <row r="98" spans="2:17" x14ac:dyDescent="0.15">
      <c r="B98" s="26" t="s">
        <v>168</v>
      </c>
      <c r="C98" s="38"/>
      <c r="D98" s="38"/>
      <c r="E98" s="38"/>
      <c r="F98" s="38"/>
      <c r="G98" s="38"/>
      <c r="H98" s="38"/>
      <c r="I98" s="38"/>
      <c r="J98" s="38"/>
      <c r="K98" s="38"/>
      <c r="L98" s="38"/>
      <c r="M98" s="38"/>
      <c r="N98" s="38"/>
      <c r="O98" s="38"/>
      <c r="P98" s="5"/>
      <c r="Q98" s="5"/>
    </row>
    <row r="99" spans="2:17" x14ac:dyDescent="0.15">
      <c r="B99" s="44" t="s">
        <v>58</v>
      </c>
      <c r="C99" s="41">
        <f>IF($C$91&lt;13,0,ABS(IPMT($C$90/12,13,$C$91,$C$89)))</f>
        <v>0</v>
      </c>
      <c r="D99" s="41">
        <f>IF($C$91&lt;14,0,ABS(IPMT($C$90/12,14,$C$91,$C$89)))</f>
        <v>0</v>
      </c>
      <c r="E99" s="41">
        <f>IF($C$91&lt;15,0,ABS(IPMT($C$90/12,15,$C$91,$C$89)))</f>
        <v>0</v>
      </c>
      <c r="F99" s="41">
        <f>IF($C$91&lt;16,0,ABS(IPMT($C$90/12,16,$C$91,$C$89)))</f>
        <v>0</v>
      </c>
      <c r="G99" s="41">
        <f>IF($C$91&lt;17,0,ABS(IPMT($C$90/12,17,$C$91,$C$89)))</f>
        <v>0</v>
      </c>
      <c r="H99" s="41">
        <f>IF($C$91&lt;18,0,ABS(IPMT($C$90/12,18,$C$91,$C$89)))</f>
        <v>0</v>
      </c>
      <c r="I99" s="41">
        <f>IF($C$91&lt;19,0,ABS(IPMT($C$90/12,19,$C$91,$C$89)))</f>
        <v>0</v>
      </c>
      <c r="J99" s="41">
        <f>IF($C$91&lt;20,0,ABS(IPMT($C$90/12,20,$C$91,$C$89)))</f>
        <v>0</v>
      </c>
      <c r="K99" s="41">
        <f>IF($C$91&lt;21,0,ABS(IPMT($C$90/12,21,$C$91,$C$89)))</f>
        <v>0</v>
      </c>
      <c r="L99" s="41">
        <f>IF($C$91&lt;22,0,ABS(IPMT($C$90/12,22,$C$91,$C$89)))</f>
        <v>0</v>
      </c>
      <c r="M99" s="41">
        <f>IF($C$91&lt;23,0,ABS(IPMT($C$90/23,11,$C$91,$C$89)))</f>
        <v>0</v>
      </c>
      <c r="N99" s="41">
        <f>IF($C$91&lt;24,0,ABS(IPMT($C$90/12,24,$C$91,$C$89)))</f>
        <v>0</v>
      </c>
      <c r="O99" s="315">
        <f>SUM(C99:N99)</f>
        <v>0</v>
      </c>
      <c r="P99" s="5"/>
      <c r="Q99" s="5"/>
    </row>
    <row r="100" spans="2:17" x14ac:dyDescent="0.15">
      <c r="B100" s="44" t="s">
        <v>166</v>
      </c>
      <c r="C100" s="41">
        <f>IF($C$91&lt;13,0,ABS(PPMT($C$90/12,13,$C$91,$C$89)))</f>
        <v>0</v>
      </c>
      <c r="D100" s="41">
        <f>IF($C$91&lt;14,0,ABS(PPMT($C$90/12,14,$C$91,$C$89)))</f>
        <v>0</v>
      </c>
      <c r="E100" s="41">
        <f>IF($C$91&lt;15,0,ABS(PPMT($C$90/12,15,$C$91,$C$89)))</f>
        <v>0</v>
      </c>
      <c r="F100" s="41">
        <f>IF($C$91&lt;16,0,ABS(PPMT($C$90/12,16,$C$91,$C$89)))</f>
        <v>0</v>
      </c>
      <c r="G100" s="41">
        <f>IF($C$91&lt;17,0,ABS(PPMT($C$90/12,17,$C$91,$C$89)))</f>
        <v>0</v>
      </c>
      <c r="H100" s="41">
        <f>IF($C$91&lt;18,0,ABS(PPMT($C$90/12,18,$C$91,$C$89)))</f>
        <v>0</v>
      </c>
      <c r="I100" s="41">
        <f>IF($C$91&lt;19,0,ABS(PPMT($C$90/12,19,$C$91,$C$89)))</f>
        <v>0</v>
      </c>
      <c r="J100" s="41">
        <f>IF($C$91&lt;20,0,ABS(PPMT($C$90/12,20,$C$91,$C$89)))</f>
        <v>0</v>
      </c>
      <c r="K100" s="41">
        <f>IF($C$91&lt;21,0,ABS(PPMT($C$90/12,21,$C$91,$C$89)))</f>
        <v>0</v>
      </c>
      <c r="L100" s="41">
        <f>IF($C$91&lt;22,0,ABS(PPMT($C$90/12,22,$C$91,$C$89)))</f>
        <v>0</v>
      </c>
      <c r="M100" s="41">
        <f>IF($C$91&lt;23,0,ABS(PPMT($C$90/12,23,$C$91,$C$89)))</f>
        <v>0</v>
      </c>
      <c r="N100" s="41">
        <f>IF($C$91&lt;24,0,ABS(PPMT($C$90/12,24,$C$91,$C$89)))</f>
        <v>0</v>
      </c>
      <c r="O100" s="315">
        <f>SUM(C100:N100)</f>
        <v>0</v>
      </c>
      <c r="P100" s="5"/>
      <c r="Q100" s="5"/>
    </row>
    <row r="101" spans="2:17" x14ac:dyDescent="0.15">
      <c r="B101" s="44" t="s">
        <v>167</v>
      </c>
      <c r="C101" s="42">
        <f>N97-C100</f>
        <v>0</v>
      </c>
      <c r="D101" s="42">
        <f t="shared" ref="D101:N101" si="13">C101-D100</f>
        <v>0</v>
      </c>
      <c r="E101" s="42">
        <f t="shared" si="13"/>
        <v>0</v>
      </c>
      <c r="F101" s="42">
        <f t="shared" si="13"/>
        <v>0</v>
      </c>
      <c r="G101" s="42">
        <f t="shared" si="13"/>
        <v>0</v>
      </c>
      <c r="H101" s="42">
        <f t="shared" si="13"/>
        <v>0</v>
      </c>
      <c r="I101" s="42">
        <f t="shared" si="13"/>
        <v>0</v>
      </c>
      <c r="J101" s="42">
        <f t="shared" si="13"/>
        <v>0</v>
      </c>
      <c r="K101" s="42">
        <f t="shared" si="13"/>
        <v>0</v>
      </c>
      <c r="L101" s="42">
        <f t="shared" si="13"/>
        <v>0</v>
      </c>
      <c r="M101" s="42">
        <f t="shared" si="13"/>
        <v>0</v>
      </c>
      <c r="N101" s="42">
        <f t="shared" si="13"/>
        <v>0</v>
      </c>
      <c r="O101" s="37"/>
      <c r="P101" s="5"/>
      <c r="Q101" s="5"/>
    </row>
    <row r="102" spans="2:17" x14ac:dyDescent="0.15">
      <c r="B102" s="26" t="s">
        <v>169</v>
      </c>
      <c r="C102" s="38"/>
      <c r="D102" s="38"/>
      <c r="E102" s="38"/>
      <c r="F102" s="38"/>
      <c r="G102" s="38"/>
      <c r="H102" s="38"/>
      <c r="I102" s="38"/>
      <c r="J102" s="38"/>
      <c r="K102" s="38"/>
      <c r="L102" s="38"/>
      <c r="M102" s="38"/>
      <c r="N102" s="38"/>
      <c r="O102" s="38"/>
      <c r="P102" s="5"/>
      <c r="Q102" s="5"/>
    </row>
    <row r="103" spans="2:17" x14ac:dyDescent="0.15">
      <c r="B103" s="44" t="s">
        <v>58</v>
      </c>
      <c r="C103" s="41">
        <f>IF($C$91&lt;25,0,ABS(IPMT($C$90/12,25,$C$91,$C$89)))</f>
        <v>0</v>
      </c>
      <c r="D103" s="41">
        <f>IF($C$91&lt;26,0,ABS(IPMT($C$90/12,26,$C$91,$C$89)))</f>
        <v>0</v>
      </c>
      <c r="E103" s="41">
        <f>IF($C$91&lt;27,0,ABS(IPMT($C$90/12,27,$C$91,$C$89)))</f>
        <v>0</v>
      </c>
      <c r="F103" s="41">
        <f>IF($C$91&lt;28,0,ABS(IPMT($C$90/12,28,$C$91,$C$89)))</f>
        <v>0</v>
      </c>
      <c r="G103" s="41">
        <f>IF($C$91&lt;29,0,ABS(IPMT($C$90/12,29,$C$91,$C$89)))</f>
        <v>0</v>
      </c>
      <c r="H103" s="41">
        <f>IF($C$91&lt;30,0,ABS(IPMT($C$90/12,30,$C$91,$C$89)))</f>
        <v>0</v>
      </c>
      <c r="I103" s="41">
        <f>IF($C$91&lt;31,0,ABS(IPMT($C$90/12,31,$C$91,$C$89)))</f>
        <v>0</v>
      </c>
      <c r="J103" s="41">
        <f>IF($C$91&lt;32,0,ABS(IPMT($C$90/12,32,$C$91,$C$89)))</f>
        <v>0</v>
      </c>
      <c r="K103" s="41">
        <f>IF($C$91&lt;33,0,ABS(IPMT($C$90/12,33,$C$91,$C$89)))</f>
        <v>0</v>
      </c>
      <c r="L103" s="41">
        <f>IF($C$91&lt;34,0,ABS(IPMT($C$90/12,34,$C$91,$C$89)))</f>
        <v>0</v>
      </c>
      <c r="M103" s="41">
        <f>IF($C$91&lt;35,0,ABS(IPMT($C$90/12,35,$C$91,$C$89)))</f>
        <v>0</v>
      </c>
      <c r="N103" s="41">
        <f>IF($C$91&lt;36,0,ABS(IPMT($C$90/12,36,$C$91,$C$89)))</f>
        <v>0</v>
      </c>
      <c r="O103" s="315">
        <f>SUM(C103:N103)</f>
        <v>0</v>
      </c>
      <c r="P103" s="5"/>
      <c r="Q103" s="5"/>
    </row>
    <row r="104" spans="2:17" x14ac:dyDescent="0.15">
      <c r="B104" s="44" t="s">
        <v>166</v>
      </c>
      <c r="C104" s="41">
        <f>IF($C$91&lt;25,0,ABS(PPMT($C$90/12,25,$C$91,$C$89)))</f>
        <v>0</v>
      </c>
      <c r="D104" s="41">
        <f>IF($C$91&lt;26,0,ABS(PPMT($C$90/12,26,$C$91,$C$89)))</f>
        <v>0</v>
      </c>
      <c r="E104" s="41">
        <f>IF($C$91&lt;27,0,ABS(PPMT($C$90/12,27,$C$91,$C$89)))</f>
        <v>0</v>
      </c>
      <c r="F104" s="41">
        <f>IF($C$91&lt;28,0,ABS(PPMT($C$90/12,28,$C$91,$C$89)))</f>
        <v>0</v>
      </c>
      <c r="G104" s="41">
        <f>IF($C$91&lt;29,0,ABS(PPMT($C$90/12,29,$C$91,$C$89)))</f>
        <v>0</v>
      </c>
      <c r="H104" s="41">
        <f>IF($C$91&lt;30,0,ABS(PPMT($C$90/12,30,$C$91,$C$89)))</f>
        <v>0</v>
      </c>
      <c r="I104" s="41">
        <f>IF($C$91&lt;31,0,ABS(PPMT($C$90/12,31,$C$91,$C$89)))</f>
        <v>0</v>
      </c>
      <c r="J104" s="41">
        <f>IF($C$91&lt;32,0,ABS(PPMT($C$90/12,32,$C$91,$C$89)))</f>
        <v>0</v>
      </c>
      <c r="K104" s="41">
        <f>IF($C$91&lt;33,0,ABS(PPMT($C$90/12,33,$C$91,$C$89)))</f>
        <v>0</v>
      </c>
      <c r="L104" s="41">
        <f>IF($C$91&lt;34,0,ABS(PPMT($C$90/12,34,$C$91,$C$89)))</f>
        <v>0</v>
      </c>
      <c r="M104" s="41">
        <f>IF($C$91&lt;35,0,ABS(PPMT($C$90/12,35,$C$91,$C$89)))</f>
        <v>0</v>
      </c>
      <c r="N104" s="41">
        <f>IF($C$91&lt;36,0,ABS(PPMT($C$90/12,36,$C$91,$C$89)))</f>
        <v>0</v>
      </c>
      <c r="O104" s="315">
        <f>SUM(C104:N104)</f>
        <v>0</v>
      </c>
      <c r="P104" s="5"/>
      <c r="Q104" s="5"/>
    </row>
    <row r="105" spans="2:17" x14ac:dyDescent="0.15">
      <c r="B105" s="44" t="s">
        <v>167</v>
      </c>
      <c r="C105" s="42">
        <f>N101-C104</f>
        <v>0</v>
      </c>
      <c r="D105" s="42">
        <f t="shared" ref="D105:N105" si="14">C105-D104</f>
        <v>0</v>
      </c>
      <c r="E105" s="42">
        <f t="shared" si="14"/>
        <v>0</v>
      </c>
      <c r="F105" s="42">
        <f t="shared" si="14"/>
        <v>0</v>
      </c>
      <c r="G105" s="42">
        <f t="shared" si="14"/>
        <v>0</v>
      </c>
      <c r="H105" s="42">
        <f t="shared" si="14"/>
        <v>0</v>
      </c>
      <c r="I105" s="42">
        <f t="shared" si="14"/>
        <v>0</v>
      </c>
      <c r="J105" s="42">
        <f t="shared" si="14"/>
        <v>0</v>
      </c>
      <c r="K105" s="42">
        <f t="shared" si="14"/>
        <v>0</v>
      </c>
      <c r="L105" s="42">
        <f t="shared" si="14"/>
        <v>0</v>
      </c>
      <c r="M105" s="42">
        <f t="shared" si="14"/>
        <v>0</v>
      </c>
      <c r="N105" s="42">
        <f t="shared" si="14"/>
        <v>0</v>
      </c>
      <c r="O105" s="37"/>
      <c r="P105" s="5"/>
      <c r="Q105" s="5"/>
    </row>
    <row r="106" spans="2:17" x14ac:dyDescent="0.15">
      <c r="B106" s="9"/>
      <c r="C106" s="9"/>
      <c r="D106" s="5"/>
      <c r="E106" s="5"/>
      <c r="F106" s="5"/>
      <c r="G106" s="5"/>
      <c r="H106" s="5"/>
      <c r="I106" s="5"/>
      <c r="J106" s="5"/>
      <c r="K106" s="5"/>
      <c r="L106" s="5"/>
      <c r="M106" s="5"/>
      <c r="N106" s="5"/>
      <c r="O106" s="5"/>
      <c r="P106" s="5"/>
      <c r="Q106" s="5"/>
    </row>
    <row r="107" spans="2:17" x14ac:dyDescent="0.15">
      <c r="B107" s="5"/>
      <c r="C107" s="5"/>
      <c r="D107" s="5"/>
      <c r="E107" s="5"/>
      <c r="F107" s="5"/>
      <c r="G107" s="5"/>
      <c r="H107" s="5"/>
      <c r="I107" s="5"/>
      <c r="J107" s="5"/>
      <c r="K107" s="5"/>
      <c r="L107" s="5"/>
      <c r="M107" s="5"/>
      <c r="N107" s="5"/>
      <c r="O107" s="5"/>
      <c r="P107" s="5"/>
      <c r="Q107" s="5"/>
    </row>
    <row r="108" spans="2:17" ht="13" thickBot="1" x14ac:dyDescent="0.2">
      <c r="B108" s="506" t="s">
        <v>31</v>
      </c>
      <c r="C108" s="506"/>
      <c r="D108" s="5"/>
      <c r="E108" s="5"/>
      <c r="F108" s="5"/>
      <c r="G108" s="5"/>
      <c r="H108" s="5"/>
      <c r="I108" s="5"/>
      <c r="J108" s="5"/>
      <c r="K108" s="5"/>
      <c r="L108" s="5"/>
      <c r="M108" s="5"/>
      <c r="N108" s="5"/>
      <c r="O108" s="5"/>
      <c r="P108" s="5"/>
      <c r="Q108" s="5"/>
    </row>
    <row r="109" spans="2:17" ht="13" thickTop="1" x14ac:dyDescent="0.15">
      <c r="B109" s="349" t="str">
        <f>'1-StartingPoint'!B10</f>
        <v>Real Estate-Buildings</v>
      </c>
      <c r="C109" s="390">
        <f>'1-StartingPoint'!D10</f>
        <v>20</v>
      </c>
      <c r="D109" s="5"/>
      <c r="E109" s="5"/>
      <c r="F109" s="5"/>
      <c r="G109" s="5"/>
      <c r="H109" s="5"/>
      <c r="I109" s="5"/>
      <c r="J109" s="5"/>
      <c r="K109" s="5"/>
      <c r="L109" s="5"/>
      <c r="M109" s="5"/>
      <c r="N109" s="5"/>
      <c r="O109" s="5"/>
      <c r="P109" s="5"/>
      <c r="Q109" s="5"/>
    </row>
    <row r="110" spans="2:17" x14ac:dyDescent="0.15">
      <c r="B110" s="47" t="str">
        <f>'1-StartingPoint'!B11</f>
        <v>Leasehold Improvements</v>
      </c>
      <c r="C110" s="229">
        <f>'1-StartingPoint'!D11</f>
        <v>7</v>
      </c>
      <c r="D110" s="5"/>
      <c r="E110" s="5"/>
      <c r="F110" s="5"/>
      <c r="G110" s="5"/>
      <c r="H110" s="5"/>
      <c r="I110" s="5"/>
      <c r="J110" s="5"/>
      <c r="K110" s="5"/>
      <c r="L110" s="5"/>
      <c r="M110" s="5"/>
      <c r="N110" s="5"/>
      <c r="O110" s="5"/>
      <c r="P110" s="5"/>
      <c r="Q110" s="5"/>
    </row>
    <row r="111" spans="2:17" x14ac:dyDescent="0.15">
      <c r="B111" s="47" t="str">
        <f>'1-StartingPoint'!B12</f>
        <v>Equipment</v>
      </c>
      <c r="C111" s="229">
        <f>'1-StartingPoint'!D12</f>
        <v>7</v>
      </c>
      <c r="D111" s="5"/>
      <c r="E111" s="5"/>
      <c r="F111" s="5"/>
      <c r="G111" s="5"/>
      <c r="H111" s="5"/>
      <c r="I111" s="5"/>
      <c r="J111" s="5"/>
      <c r="K111" s="5"/>
      <c r="L111" s="5"/>
      <c r="M111" s="5"/>
      <c r="N111" s="5"/>
      <c r="O111" s="5"/>
      <c r="P111" s="5"/>
      <c r="Q111" s="5"/>
    </row>
    <row r="112" spans="2:17" x14ac:dyDescent="0.15">
      <c r="B112" s="47" t="str">
        <f>'1-StartingPoint'!B13</f>
        <v>Furniture and Fixtures</v>
      </c>
      <c r="C112" s="229">
        <f>'1-StartingPoint'!D13</f>
        <v>5</v>
      </c>
      <c r="D112" s="5"/>
      <c r="E112" s="5"/>
      <c r="F112" s="5"/>
      <c r="G112" s="5"/>
      <c r="H112" s="5"/>
      <c r="I112" s="5"/>
      <c r="J112" s="5"/>
      <c r="K112" s="5"/>
      <c r="L112" s="5"/>
      <c r="M112" s="5"/>
      <c r="N112" s="5"/>
      <c r="O112" s="5"/>
      <c r="P112" s="5"/>
      <c r="Q112" s="5"/>
    </row>
    <row r="113" spans="2:17" x14ac:dyDescent="0.15">
      <c r="B113" s="47" t="str">
        <f>'1-StartingPoint'!B14</f>
        <v>Vehicles</v>
      </c>
      <c r="C113" s="229">
        <f>'1-StartingPoint'!D14</f>
        <v>5</v>
      </c>
      <c r="D113" s="5"/>
      <c r="E113" s="5"/>
      <c r="F113" s="5"/>
      <c r="G113" s="5"/>
      <c r="H113" s="5"/>
      <c r="I113" s="5"/>
      <c r="J113" s="5"/>
      <c r="K113" s="5"/>
      <c r="L113" s="5"/>
      <c r="M113" s="5"/>
      <c r="N113" s="5"/>
      <c r="O113" s="5"/>
      <c r="P113" s="5"/>
      <c r="Q113" s="5"/>
    </row>
    <row r="114" spans="2:17" x14ac:dyDescent="0.15">
      <c r="B114" s="47" t="str">
        <f>'1-StartingPoint'!B15</f>
        <v>Other</v>
      </c>
      <c r="C114" s="229">
        <f>'1-StartingPoint'!D15</f>
        <v>5</v>
      </c>
      <c r="D114" s="5"/>
      <c r="E114" s="5"/>
      <c r="F114" s="5"/>
      <c r="G114" s="5"/>
      <c r="H114" s="5"/>
      <c r="I114" s="5"/>
      <c r="J114" s="5"/>
      <c r="K114" s="5"/>
      <c r="L114" s="5"/>
      <c r="M114" s="5"/>
      <c r="N114" s="5"/>
      <c r="O114" s="5"/>
      <c r="P114" s="5"/>
      <c r="Q114" s="5"/>
    </row>
    <row r="115" spans="2:17" x14ac:dyDescent="0.15">
      <c r="B115" s="26"/>
      <c r="C115" s="43" t="str">
        <f>'3a-SalesForecastYear1'!$C$16</f>
        <v>January</v>
      </c>
      <c r="D115" s="43" t="str">
        <f>'3a-SalesForecastYear1'!$D$16</f>
        <v>February</v>
      </c>
      <c r="E115" s="43" t="str">
        <f>'3a-SalesForecastYear1'!$E$16</f>
        <v>March</v>
      </c>
      <c r="F115" s="43" t="str">
        <f>'3a-SalesForecastYear1'!$F$16</f>
        <v>April</v>
      </c>
      <c r="G115" s="43" t="str">
        <f>'3a-SalesForecastYear1'!$G$16</f>
        <v>May</v>
      </c>
      <c r="H115" s="43" t="str">
        <f>'3a-SalesForecastYear1'!$H$16</f>
        <v>June</v>
      </c>
      <c r="I115" s="43" t="str">
        <f>'3a-SalesForecastYear1'!$I$16</f>
        <v>July</v>
      </c>
      <c r="J115" s="43" t="str">
        <f>'3a-SalesForecastYear1'!$J$16</f>
        <v>August</v>
      </c>
      <c r="K115" s="43" t="str">
        <f>'3a-SalesForecastYear1'!$K$16</f>
        <v>September</v>
      </c>
      <c r="L115" s="43" t="str">
        <f>'3a-SalesForecastYear1'!$L$16</f>
        <v>October</v>
      </c>
      <c r="M115" s="43" t="str">
        <f>'3a-SalesForecastYear1'!$M$16</f>
        <v>November</v>
      </c>
      <c r="N115" s="43" t="str">
        <f>'3a-SalesForecastYear1'!$N$16</f>
        <v>December</v>
      </c>
      <c r="O115" s="43" t="s">
        <v>8</v>
      </c>
      <c r="P115" s="5"/>
      <c r="Q115" s="5"/>
    </row>
    <row r="116" spans="2:17" x14ac:dyDescent="0.15">
      <c r="B116" s="26" t="s">
        <v>165</v>
      </c>
      <c r="C116" s="30"/>
      <c r="D116" s="30"/>
      <c r="E116" s="30"/>
      <c r="F116" s="30"/>
      <c r="G116" s="30"/>
      <c r="H116" s="30"/>
      <c r="I116" s="30"/>
      <c r="J116" s="30"/>
      <c r="K116" s="30"/>
      <c r="L116" s="30"/>
      <c r="M116" s="30"/>
      <c r="N116" s="30"/>
      <c r="O116" s="30"/>
      <c r="P116" s="5"/>
      <c r="Q116" s="5"/>
    </row>
    <row r="117" spans="2:17" x14ac:dyDescent="0.15">
      <c r="B117" s="44" t="s">
        <v>245</v>
      </c>
      <c r="C117" s="41">
        <f>(Buildings/'1-StartingPoint'!$D$10/12)+(LeaseImprovements/'1-StartingPoint'!$D$11/12)+(Equipment/'1-StartingPoint'!$D$12/12)+(Furniture/'1-StartingPoint'!$D$13/12)+(Vehicles/'1-StartingPoint'!$D$14/12)+(OtherFixedAssets/'1-StartingPoint'!$D$15/12)</f>
        <v>2750</v>
      </c>
      <c r="D117" s="41">
        <f>C119</f>
        <v>2750</v>
      </c>
      <c r="E117" s="41">
        <f t="shared" ref="E117:N117" si="15">D119</f>
        <v>2750</v>
      </c>
      <c r="F117" s="41">
        <f t="shared" si="15"/>
        <v>2750</v>
      </c>
      <c r="G117" s="41">
        <f t="shared" si="15"/>
        <v>2750</v>
      </c>
      <c r="H117" s="41">
        <f t="shared" si="15"/>
        <v>2750</v>
      </c>
      <c r="I117" s="41">
        <f t="shared" si="15"/>
        <v>2750</v>
      </c>
      <c r="J117" s="41">
        <f t="shared" si="15"/>
        <v>2750</v>
      </c>
      <c r="K117" s="41">
        <f t="shared" si="15"/>
        <v>2750</v>
      </c>
      <c r="L117" s="41">
        <f t="shared" si="15"/>
        <v>2750</v>
      </c>
      <c r="M117" s="41">
        <f t="shared" si="15"/>
        <v>2750</v>
      </c>
      <c r="N117" s="41">
        <f t="shared" si="15"/>
        <v>2750</v>
      </c>
      <c r="O117" s="315">
        <f>SUM(C117:N117)</f>
        <v>33000</v>
      </c>
      <c r="P117" s="5"/>
      <c r="Q117" s="5"/>
    </row>
    <row r="118" spans="2:17" x14ac:dyDescent="0.15">
      <c r="B118" s="44" t="s">
        <v>246</v>
      </c>
      <c r="C118" s="41">
        <v>0</v>
      </c>
      <c r="D118" s="41">
        <f>('4-AdditionalInputs'!E29/'4-AdditionalInputs'!$C$29/12)+('4-AdditionalInputs'!E30/'4-AdditionalInputs'!$C$30/12)+('4-AdditionalInputs'!E31/'4-AdditionalInputs'!$C$31/12)+('4-AdditionalInputs'!E32/'4-AdditionalInputs'!$C$32/12)+('4-AdditionalInputs'!E33/'4-AdditionalInputs'!$C$33/12)+('4-AdditionalInputs'!E34/'4-AdditionalInputs'!$C$34/12)</f>
        <v>0</v>
      </c>
      <c r="E118" s="41">
        <f>('4-AdditionalInputs'!F29/'4-AdditionalInputs'!$C$29/12)+('4-AdditionalInputs'!F30/'4-AdditionalInputs'!$C$30/12)+('4-AdditionalInputs'!F31/'4-AdditionalInputs'!$C$31/12)+('4-AdditionalInputs'!F32/'4-AdditionalInputs'!$C$32/12)+('4-AdditionalInputs'!F33/'4-AdditionalInputs'!$C$33/12)+('4-AdditionalInputs'!F34/'4-AdditionalInputs'!$C$34/12)</f>
        <v>0</v>
      </c>
      <c r="F118" s="41">
        <f>('4-AdditionalInputs'!G29/'4-AdditionalInputs'!$C$29/12)+('4-AdditionalInputs'!G30/'4-AdditionalInputs'!$C$30/12)+('4-AdditionalInputs'!G31/'4-AdditionalInputs'!$C$31/12)+('4-AdditionalInputs'!G32/'4-AdditionalInputs'!$C$32/12)+('4-AdditionalInputs'!G33/'4-AdditionalInputs'!$C$33/12)+('4-AdditionalInputs'!G34/'4-AdditionalInputs'!$C$34/12)</f>
        <v>0</v>
      </c>
      <c r="G118" s="41">
        <f>('4-AdditionalInputs'!H29/'4-AdditionalInputs'!$C$29/12)+('4-AdditionalInputs'!H30/'4-AdditionalInputs'!$C$30/12)+('4-AdditionalInputs'!H31/'4-AdditionalInputs'!$C$31/12)+('4-AdditionalInputs'!H32/'4-AdditionalInputs'!$C$32/12)+('4-AdditionalInputs'!H33/'4-AdditionalInputs'!$C$33/12)+('4-AdditionalInputs'!H34/'4-AdditionalInputs'!$C$34/12)</f>
        <v>0</v>
      </c>
      <c r="H118" s="41">
        <f>('4-AdditionalInputs'!I29/'4-AdditionalInputs'!$C$29/12)+('4-AdditionalInputs'!I30/'4-AdditionalInputs'!$C$30/12)+('4-AdditionalInputs'!I31/'4-AdditionalInputs'!$C$31/12)+('4-AdditionalInputs'!I32/'4-AdditionalInputs'!$C$32/12)+('4-AdditionalInputs'!I33/'4-AdditionalInputs'!$C$33/12)+('4-AdditionalInputs'!I34/'4-AdditionalInputs'!$C$34/12)</f>
        <v>0</v>
      </c>
      <c r="I118" s="41">
        <f>('4-AdditionalInputs'!J29/'4-AdditionalInputs'!$C$29/12)+('4-AdditionalInputs'!J30/'4-AdditionalInputs'!$C$30/12)+('4-AdditionalInputs'!J31/'4-AdditionalInputs'!$C$31/12)+('4-AdditionalInputs'!J32/'4-AdditionalInputs'!$C$32/12)+('4-AdditionalInputs'!J33/'4-AdditionalInputs'!$C$33/12)+('4-AdditionalInputs'!J34/'4-AdditionalInputs'!$C$34/12)</f>
        <v>0</v>
      </c>
      <c r="J118" s="41">
        <f>('4-AdditionalInputs'!K29/'4-AdditionalInputs'!$C$29/12)+('4-AdditionalInputs'!K30/'4-AdditionalInputs'!$C$30/12)+('4-AdditionalInputs'!K31/'4-AdditionalInputs'!$C$31/12)+('4-AdditionalInputs'!K32/'4-AdditionalInputs'!$C$32/12)+('4-AdditionalInputs'!K33/'4-AdditionalInputs'!$C$33/12)+('4-AdditionalInputs'!K34/'4-AdditionalInputs'!$C$34/12)</f>
        <v>0</v>
      </c>
      <c r="K118" s="41">
        <f>('4-AdditionalInputs'!L29/'4-AdditionalInputs'!$C$29/12)+('4-AdditionalInputs'!L30/'4-AdditionalInputs'!$C$30/12)+('4-AdditionalInputs'!L31/'4-AdditionalInputs'!$C$31/12)+('4-AdditionalInputs'!L32/'4-AdditionalInputs'!$C$32/12)+('4-AdditionalInputs'!L33/'4-AdditionalInputs'!$C$33/12)+('4-AdditionalInputs'!L34/'4-AdditionalInputs'!$C$34/12)</f>
        <v>0</v>
      </c>
      <c r="L118" s="41">
        <f>('4-AdditionalInputs'!M29/'4-AdditionalInputs'!$C$29/12)+('4-AdditionalInputs'!M30/'4-AdditionalInputs'!$C$30/12)+('4-AdditionalInputs'!M31/'4-AdditionalInputs'!$C$31/12)+('4-AdditionalInputs'!M32/'4-AdditionalInputs'!$C$32/12)+('4-AdditionalInputs'!M33/'4-AdditionalInputs'!$C$33/12)+('4-AdditionalInputs'!M34/'4-AdditionalInputs'!$C$34/12)</f>
        <v>0</v>
      </c>
      <c r="M118" s="41">
        <f>('4-AdditionalInputs'!N29/'4-AdditionalInputs'!$C$29/12)+('4-AdditionalInputs'!N30/'4-AdditionalInputs'!$C$30/12)+('4-AdditionalInputs'!N31/'4-AdditionalInputs'!$C$31/12)+('4-AdditionalInputs'!N32/'4-AdditionalInputs'!$C$32/12)+('4-AdditionalInputs'!N33/'4-AdditionalInputs'!$C$33/12)+('4-AdditionalInputs'!N34/'4-AdditionalInputs'!$C$34/12)</f>
        <v>0</v>
      </c>
      <c r="N118" s="41">
        <f>('4-AdditionalInputs'!O29/'4-AdditionalInputs'!$C$29/12)+('4-AdditionalInputs'!O30/'4-AdditionalInputs'!$C$30/12)+('4-AdditionalInputs'!O31/'4-AdditionalInputs'!$C$31/12)+('4-AdditionalInputs'!O32/'4-AdditionalInputs'!$C$32/12)+('4-AdditionalInputs'!O33/'4-AdditionalInputs'!$C$33/12)+('4-AdditionalInputs'!O34/'4-AdditionalInputs'!$C$34/12)</f>
        <v>0</v>
      </c>
      <c r="O118" s="41"/>
      <c r="P118" s="5"/>
      <c r="Q118" s="5"/>
    </row>
    <row r="119" spans="2:17" x14ac:dyDescent="0.15">
      <c r="B119" s="44" t="s">
        <v>247</v>
      </c>
      <c r="C119" s="42">
        <f>SUM(C117:C118)</f>
        <v>2750</v>
      </c>
      <c r="D119" s="42">
        <f t="shared" ref="D119:N119" si="16">SUM(D117:D118)</f>
        <v>2750</v>
      </c>
      <c r="E119" s="42">
        <f t="shared" si="16"/>
        <v>2750</v>
      </c>
      <c r="F119" s="42">
        <f t="shared" si="16"/>
        <v>2750</v>
      </c>
      <c r="G119" s="42">
        <f t="shared" si="16"/>
        <v>2750</v>
      </c>
      <c r="H119" s="42">
        <f t="shared" si="16"/>
        <v>2750</v>
      </c>
      <c r="I119" s="42">
        <f t="shared" si="16"/>
        <v>2750</v>
      </c>
      <c r="J119" s="42">
        <f t="shared" si="16"/>
        <v>2750</v>
      </c>
      <c r="K119" s="42">
        <f t="shared" si="16"/>
        <v>2750</v>
      </c>
      <c r="L119" s="42">
        <f t="shared" si="16"/>
        <v>2750</v>
      </c>
      <c r="M119" s="42">
        <f t="shared" si="16"/>
        <v>2750</v>
      </c>
      <c r="N119" s="42">
        <f t="shared" si="16"/>
        <v>2750</v>
      </c>
      <c r="O119" s="315">
        <f t="shared" ref="O119:O127" si="17">SUM(C119:N119)</f>
        <v>33000</v>
      </c>
      <c r="P119" s="5"/>
      <c r="Q119" s="5"/>
    </row>
    <row r="120" spans="2:17" x14ac:dyDescent="0.15">
      <c r="B120" s="26" t="s">
        <v>168</v>
      </c>
      <c r="C120" s="30"/>
      <c r="D120" s="30"/>
      <c r="E120" s="30"/>
      <c r="F120" s="30"/>
      <c r="G120" s="30"/>
      <c r="H120" s="30"/>
      <c r="I120" s="30"/>
      <c r="J120" s="30"/>
      <c r="K120" s="30"/>
      <c r="L120" s="30"/>
      <c r="M120" s="30"/>
      <c r="N120" s="30"/>
      <c r="O120" s="41"/>
      <c r="P120" s="5"/>
      <c r="Q120" s="5"/>
    </row>
    <row r="121" spans="2:17" x14ac:dyDescent="0.15">
      <c r="B121" s="44" t="s">
        <v>245</v>
      </c>
      <c r="C121" s="41">
        <f>N119</f>
        <v>2750</v>
      </c>
      <c r="D121" s="41">
        <f>C123</f>
        <v>2750</v>
      </c>
      <c r="E121" s="41">
        <f t="shared" ref="E121:N121" si="18">D123</f>
        <v>2750</v>
      </c>
      <c r="F121" s="41">
        <f t="shared" si="18"/>
        <v>2750</v>
      </c>
      <c r="G121" s="41">
        <f t="shared" si="18"/>
        <v>2750</v>
      </c>
      <c r="H121" s="41">
        <f t="shared" si="18"/>
        <v>2750</v>
      </c>
      <c r="I121" s="41">
        <f t="shared" si="18"/>
        <v>2750</v>
      </c>
      <c r="J121" s="41">
        <f t="shared" si="18"/>
        <v>2750</v>
      </c>
      <c r="K121" s="41">
        <f t="shared" si="18"/>
        <v>2750</v>
      </c>
      <c r="L121" s="41">
        <f t="shared" si="18"/>
        <v>2750</v>
      </c>
      <c r="M121" s="41">
        <f t="shared" si="18"/>
        <v>2750</v>
      </c>
      <c r="N121" s="41">
        <f t="shared" si="18"/>
        <v>2750</v>
      </c>
      <c r="O121" s="315">
        <f t="shared" si="17"/>
        <v>33000</v>
      </c>
      <c r="P121" s="5"/>
      <c r="Q121" s="5"/>
    </row>
    <row r="122" spans="2:17" x14ac:dyDescent="0.15">
      <c r="B122" s="44" t="s">
        <v>246</v>
      </c>
      <c r="C122" s="41">
        <f>('4-AdditionalInputs'!$Q$29/'4-AdditionalInputs'!$C$29/12)+('4-AdditionalInputs'!$Q$30/'4-AdditionalInputs'!$C$30/12)+('4-AdditionalInputs'!$Q$31/'4-AdditionalInputs'!$C$31/12)+('4-AdditionalInputs'!$Q$32/'4-AdditionalInputs'!$C$32/12)+('4-AdditionalInputs'!$Q$33/'4-AdditionalInputs'!$C$33/12)+('4-AdditionalInputs'!$Q$34/'4-AdditionalInputs'!$C$34/12)</f>
        <v>0</v>
      </c>
      <c r="D122" s="41">
        <f>('4-AdditionalInputs'!$Q$29/'4-AdditionalInputs'!$C$29/12)+('4-AdditionalInputs'!$Q$30/'4-AdditionalInputs'!$C$30/12)+('4-AdditionalInputs'!$Q$31/'4-AdditionalInputs'!$C$31/12)+('4-AdditionalInputs'!$Q$32/'4-AdditionalInputs'!$C$32/12)+('4-AdditionalInputs'!$Q$33/'4-AdditionalInputs'!$C$33/12)+('4-AdditionalInputs'!$Q$34/'4-AdditionalInputs'!$C$34/12)</f>
        <v>0</v>
      </c>
      <c r="E122" s="41">
        <f>('4-AdditionalInputs'!$Q$29/'4-AdditionalInputs'!$C$29/12)+('4-AdditionalInputs'!$Q$30/'4-AdditionalInputs'!$C$30/12)+('4-AdditionalInputs'!$Q$31/'4-AdditionalInputs'!$C$31/12)+('4-AdditionalInputs'!$Q$32/'4-AdditionalInputs'!$C$32/12)+('4-AdditionalInputs'!$Q$33/'4-AdditionalInputs'!$C$33/12)+('4-AdditionalInputs'!$Q$34/'4-AdditionalInputs'!$C$34/12)</f>
        <v>0</v>
      </c>
      <c r="F122" s="41">
        <f>('4-AdditionalInputs'!$Q$29/'4-AdditionalInputs'!$C$29/12)+('4-AdditionalInputs'!$Q$30/'4-AdditionalInputs'!$C$30/12)+('4-AdditionalInputs'!$Q$31/'4-AdditionalInputs'!$C$31/12)+('4-AdditionalInputs'!$Q$32/'4-AdditionalInputs'!$C$32/12)+('4-AdditionalInputs'!$Q$33/'4-AdditionalInputs'!$C$33/12)+('4-AdditionalInputs'!$Q$34/'4-AdditionalInputs'!$C$34/12)</f>
        <v>0</v>
      </c>
      <c r="G122" s="41">
        <f>('4-AdditionalInputs'!$Q$29/'4-AdditionalInputs'!$C$29/12)+('4-AdditionalInputs'!$Q$30/'4-AdditionalInputs'!$C$30/12)+('4-AdditionalInputs'!$Q$31/'4-AdditionalInputs'!$C$31/12)+('4-AdditionalInputs'!$Q$32/'4-AdditionalInputs'!$C$32/12)+('4-AdditionalInputs'!$Q$33/'4-AdditionalInputs'!$C$33/12)+('4-AdditionalInputs'!$Q$34/'4-AdditionalInputs'!$C$34/12)</f>
        <v>0</v>
      </c>
      <c r="H122" s="41">
        <f>('4-AdditionalInputs'!$Q$29/'4-AdditionalInputs'!$C$29/12)+('4-AdditionalInputs'!$Q$30/'4-AdditionalInputs'!$C$30/12)+('4-AdditionalInputs'!$Q$31/'4-AdditionalInputs'!$C$31/12)+('4-AdditionalInputs'!$Q$32/'4-AdditionalInputs'!$C$32/12)+('4-AdditionalInputs'!$Q$33/'4-AdditionalInputs'!$C$33/12)+('4-AdditionalInputs'!$Q$34/'4-AdditionalInputs'!$C$34/12)</f>
        <v>0</v>
      </c>
      <c r="I122" s="41">
        <f>('4-AdditionalInputs'!$Q$29/'4-AdditionalInputs'!$C$29/12)+('4-AdditionalInputs'!$Q$30/'4-AdditionalInputs'!$C$30/12)+('4-AdditionalInputs'!$Q$31/'4-AdditionalInputs'!$C$31/12)+('4-AdditionalInputs'!$Q$32/'4-AdditionalInputs'!$C$32/12)+('4-AdditionalInputs'!$Q$33/'4-AdditionalInputs'!$C$33/12)+('4-AdditionalInputs'!$Q$34/'4-AdditionalInputs'!$C$34/12)</f>
        <v>0</v>
      </c>
      <c r="J122" s="41">
        <f>('4-AdditionalInputs'!$Q$29/'4-AdditionalInputs'!$C$29/12)+('4-AdditionalInputs'!$Q$30/'4-AdditionalInputs'!$C$30/12)+('4-AdditionalInputs'!$Q$31/'4-AdditionalInputs'!$C$31/12)+('4-AdditionalInputs'!$Q$32/'4-AdditionalInputs'!$C$32/12)+('4-AdditionalInputs'!$Q$33/'4-AdditionalInputs'!$C$33/12)+('4-AdditionalInputs'!$Q$34/'4-AdditionalInputs'!$C$34/12)</f>
        <v>0</v>
      </c>
      <c r="K122" s="41">
        <f>('4-AdditionalInputs'!$Q$29/'4-AdditionalInputs'!$C$29/12)+('4-AdditionalInputs'!$Q$30/'4-AdditionalInputs'!$C$30/12)+('4-AdditionalInputs'!$Q$31/'4-AdditionalInputs'!$C$31/12)+('4-AdditionalInputs'!$Q$32/'4-AdditionalInputs'!$C$32/12)+('4-AdditionalInputs'!$Q$33/'4-AdditionalInputs'!$C$33/12)+('4-AdditionalInputs'!$Q$34/'4-AdditionalInputs'!$C$34/12)</f>
        <v>0</v>
      </c>
      <c r="L122" s="41">
        <f>('4-AdditionalInputs'!$Q$29/'4-AdditionalInputs'!$C$29/12)+('4-AdditionalInputs'!$Q$30/'4-AdditionalInputs'!$C$30/12)+('4-AdditionalInputs'!$Q$31/'4-AdditionalInputs'!$C$31/12)+('4-AdditionalInputs'!$Q$32/'4-AdditionalInputs'!$C$32/12)+('4-AdditionalInputs'!$Q$33/'4-AdditionalInputs'!$C$33/12)+('4-AdditionalInputs'!$Q$34/'4-AdditionalInputs'!$C$34/12)</f>
        <v>0</v>
      </c>
      <c r="M122" s="41">
        <f>('4-AdditionalInputs'!$Q$29/'4-AdditionalInputs'!$C$29/12)+('4-AdditionalInputs'!$Q$30/'4-AdditionalInputs'!$C$30/12)+('4-AdditionalInputs'!$Q$31/'4-AdditionalInputs'!$C$31/12)+('4-AdditionalInputs'!$Q$32/'4-AdditionalInputs'!$C$32/12)+('4-AdditionalInputs'!$Q$33/'4-AdditionalInputs'!$C$33/12)+('4-AdditionalInputs'!$Q$34/'4-AdditionalInputs'!$C$34/12)</f>
        <v>0</v>
      </c>
      <c r="N122" s="41">
        <f>('4-AdditionalInputs'!$Q$29/'4-AdditionalInputs'!$C$29/12)+('4-AdditionalInputs'!$Q$30/'4-AdditionalInputs'!$C$30/12)+('4-AdditionalInputs'!$Q$31/'4-AdditionalInputs'!$C$31/12)+('4-AdditionalInputs'!$Q$32/'4-AdditionalInputs'!$C$32/12)+('4-AdditionalInputs'!$Q$33/'4-AdditionalInputs'!$C$33/12)+('4-AdditionalInputs'!$Q$34/'4-AdditionalInputs'!$C$34/12)</f>
        <v>0</v>
      </c>
      <c r="O122" s="41"/>
      <c r="P122" s="5"/>
      <c r="Q122" s="5"/>
    </row>
    <row r="123" spans="2:17" x14ac:dyDescent="0.15">
      <c r="B123" s="44" t="s">
        <v>247</v>
      </c>
      <c r="C123" s="42">
        <f>SUM(C121:C122)</f>
        <v>2750</v>
      </c>
      <c r="D123" s="42">
        <f t="shared" ref="D123:N123" si="19">SUM(D121:D122)</f>
        <v>2750</v>
      </c>
      <c r="E123" s="42">
        <f t="shared" si="19"/>
        <v>2750</v>
      </c>
      <c r="F123" s="42">
        <f t="shared" si="19"/>
        <v>2750</v>
      </c>
      <c r="G123" s="42">
        <f t="shared" si="19"/>
        <v>2750</v>
      </c>
      <c r="H123" s="42">
        <f t="shared" si="19"/>
        <v>2750</v>
      </c>
      <c r="I123" s="42">
        <f t="shared" si="19"/>
        <v>2750</v>
      </c>
      <c r="J123" s="42">
        <f t="shared" si="19"/>
        <v>2750</v>
      </c>
      <c r="K123" s="42">
        <f t="shared" si="19"/>
        <v>2750</v>
      </c>
      <c r="L123" s="42">
        <f t="shared" si="19"/>
        <v>2750</v>
      </c>
      <c r="M123" s="42">
        <f t="shared" si="19"/>
        <v>2750</v>
      </c>
      <c r="N123" s="42">
        <f t="shared" si="19"/>
        <v>2750</v>
      </c>
      <c r="O123" s="315">
        <f t="shared" si="17"/>
        <v>33000</v>
      </c>
      <c r="P123" s="5"/>
      <c r="Q123" s="5"/>
    </row>
    <row r="124" spans="2:17" x14ac:dyDescent="0.15">
      <c r="B124" s="26" t="s">
        <v>169</v>
      </c>
      <c r="C124" s="30"/>
      <c r="D124" s="30"/>
      <c r="E124" s="30"/>
      <c r="F124" s="30"/>
      <c r="G124" s="30"/>
      <c r="H124" s="30"/>
      <c r="I124" s="30"/>
      <c r="J124" s="30"/>
      <c r="K124" s="30"/>
      <c r="L124" s="30"/>
      <c r="M124" s="30"/>
      <c r="N124" s="30"/>
      <c r="O124" s="41"/>
      <c r="P124" s="5"/>
      <c r="Q124" s="5"/>
    </row>
    <row r="125" spans="2:17" x14ac:dyDescent="0.15">
      <c r="B125" s="44" t="s">
        <v>245</v>
      </c>
      <c r="C125" s="41">
        <f>N123</f>
        <v>2750</v>
      </c>
      <c r="D125" s="41">
        <f>C127</f>
        <v>2750</v>
      </c>
      <c r="E125" s="41">
        <f t="shared" ref="E125:N125" si="20">D127</f>
        <v>2750</v>
      </c>
      <c r="F125" s="41">
        <f t="shared" si="20"/>
        <v>2750</v>
      </c>
      <c r="G125" s="41">
        <f t="shared" si="20"/>
        <v>2750</v>
      </c>
      <c r="H125" s="41">
        <f t="shared" si="20"/>
        <v>2750</v>
      </c>
      <c r="I125" s="41">
        <f t="shared" si="20"/>
        <v>2750</v>
      </c>
      <c r="J125" s="41">
        <f t="shared" si="20"/>
        <v>2750</v>
      </c>
      <c r="K125" s="41">
        <f t="shared" si="20"/>
        <v>2750</v>
      </c>
      <c r="L125" s="41">
        <f t="shared" si="20"/>
        <v>2750</v>
      </c>
      <c r="M125" s="41">
        <f t="shared" si="20"/>
        <v>2750</v>
      </c>
      <c r="N125" s="41">
        <f t="shared" si="20"/>
        <v>2750</v>
      </c>
      <c r="O125" s="315">
        <f t="shared" si="17"/>
        <v>33000</v>
      </c>
      <c r="P125" s="5"/>
      <c r="Q125" s="5"/>
    </row>
    <row r="126" spans="2:17" x14ac:dyDescent="0.15">
      <c r="B126" s="44" t="s">
        <v>246</v>
      </c>
      <c r="C126" s="41">
        <f>('4-AdditionalInputs'!$R$29/'4-AdditionalInputs'!$C$29/12)+('4-AdditionalInputs'!$R$30/'4-AdditionalInputs'!$C$30/12)+('4-AdditionalInputs'!$R$31/'4-AdditionalInputs'!$C$31/12)+('4-AdditionalInputs'!$R$32/'4-AdditionalInputs'!$C$32/12)+('4-AdditionalInputs'!$R$33/'4-AdditionalInputs'!$C$33/12)+('4-AdditionalInputs'!$R$34/'4-AdditionalInputs'!$C$34/12)</f>
        <v>0</v>
      </c>
      <c r="D126" s="41">
        <f>('4-AdditionalInputs'!$R$29/'4-AdditionalInputs'!$C$29/12)+('4-AdditionalInputs'!$R$30/'4-AdditionalInputs'!$C$30/12)+('4-AdditionalInputs'!$R$31/'4-AdditionalInputs'!$C$31/12)+('4-AdditionalInputs'!$R$32/'4-AdditionalInputs'!$C$32/12)+('4-AdditionalInputs'!$R$33/'4-AdditionalInputs'!$C$33/12)+('4-AdditionalInputs'!$R$34/'4-AdditionalInputs'!$C$34/12)</f>
        <v>0</v>
      </c>
      <c r="E126" s="41">
        <f>('4-AdditionalInputs'!$R$29/'4-AdditionalInputs'!$C$29/12)+('4-AdditionalInputs'!$R$30/'4-AdditionalInputs'!$C$30/12)+('4-AdditionalInputs'!$R$31/'4-AdditionalInputs'!$C$31/12)+('4-AdditionalInputs'!$R$32/'4-AdditionalInputs'!$C$32/12)+('4-AdditionalInputs'!$R$33/'4-AdditionalInputs'!$C$33/12)+('4-AdditionalInputs'!$R$34/'4-AdditionalInputs'!$C$34/12)</f>
        <v>0</v>
      </c>
      <c r="F126" s="41">
        <f>('4-AdditionalInputs'!$R$29/'4-AdditionalInputs'!$C$29/12)+('4-AdditionalInputs'!$R$30/'4-AdditionalInputs'!$C$30/12)+('4-AdditionalInputs'!$R$31/'4-AdditionalInputs'!$C$31/12)+('4-AdditionalInputs'!$R$32/'4-AdditionalInputs'!$C$32/12)+('4-AdditionalInputs'!$R$33/'4-AdditionalInputs'!$C$33/12)+('4-AdditionalInputs'!$R$34/'4-AdditionalInputs'!$C$34/12)</f>
        <v>0</v>
      </c>
      <c r="G126" s="41">
        <f>('4-AdditionalInputs'!$R$29/'4-AdditionalInputs'!$C$29/12)+('4-AdditionalInputs'!$R$30/'4-AdditionalInputs'!$C$30/12)+('4-AdditionalInputs'!$R$31/'4-AdditionalInputs'!$C$31/12)+('4-AdditionalInputs'!$R$32/'4-AdditionalInputs'!$C$32/12)+('4-AdditionalInputs'!$R$33/'4-AdditionalInputs'!$C$33/12)+('4-AdditionalInputs'!$R$34/'4-AdditionalInputs'!$C$34/12)</f>
        <v>0</v>
      </c>
      <c r="H126" s="41">
        <f>('4-AdditionalInputs'!$R$29/'4-AdditionalInputs'!$C$29/12)+('4-AdditionalInputs'!$R$30/'4-AdditionalInputs'!$C$30/12)+('4-AdditionalInputs'!$R$31/'4-AdditionalInputs'!$C$31/12)+('4-AdditionalInputs'!$R$32/'4-AdditionalInputs'!$C$32/12)+('4-AdditionalInputs'!$R$33/'4-AdditionalInputs'!$C$33/12)+('4-AdditionalInputs'!$R$34/'4-AdditionalInputs'!$C$34/12)</f>
        <v>0</v>
      </c>
      <c r="I126" s="41">
        <f>('4-AdditionalInputs'!$R$29/'4-AdditionalInputs'!$C$29/12)+('4-AdditionalInputs'!$R$30/'4-AdditionalInputs'!$C$30/12)+('4-AdditionalInputs'!$R$31/'4-AdditionalInputs'!$C$31/12)+('4-AdditionalInputs'!$R$32/'4-AdditionalInputs'!$C$32/12)+('4-AdditionalInputs'!$R$33/'4-AdditionalInputs'!$C$33/12)+('4-AdditionalInputs'!$R$34/'4-AdditionalInputs'!$C$34/12)</f>
        <v>0</v>
      </c>
      <c r="J126" s="41">
        <f>('4-AdditionalInputs'!$R$29/'4-AdditionalInputs'!$C$29/12)+('4-AdditionalInputs'!$R$30/'4-AdditionalInputs'!$C$30/12)+('4-AdditionalInputs'!$R$31/'4-AdditionalInputs'!$C$31/12)+('4-AdditionalInputs'!$R$32/'4-AdditionalInputs'!$C$32/12)+('4-AdditionalInputs'!$R$33/'4-AdditionalInputs'!$C$33/12)+('4-AdditionalInputs'!$R$34/'4-AdditionalInputs'!$C$34/12)</f>
        <v>0</v>
      </c>
      <c r="K126" s="41">
        <f>('4-AdditionalInputs'!$R$29/'4-AdditionalInputs'!$C$29/12)+('4-AdditionalInputs'!$R$30/'4-AdditionalInputs'!$C$30/12)+('4-AdditionalInputs'!$R$31/'4-AdditionalInputs'!$C$31/12)+('4-AdditionalInputs'!$R$32/'4-AdditionalInputs'!$C$32/12)+('4-AdditionalInputs'!$R$33/'4-AdditionalInputs'!$C$33/12)+('4-AdditionalInputs'!$R$34/'4-AdditionalInputs'!$C$34/12)</f>
        <v>0</v>
      </c>
      <c r="L126" s="41">
        <f>('4-AdditionalInputs'!$R$29/'4-AdditionalInputs'!$C$29/12)+('4-AdditionalInputs'!$R$30/'4-AdditionalInputs'!$C$30/12)+('4-AdditionalInputs'!$R$31/'4-AdditionalInputs'!$C$31/12)+('4-AdditionalInputs'!$R$32/'4-AdditionalInputs'!$C$32/12)+('4-AdditionalInputs'!$R$33/'4-AdditionalInputs'!$C$33/12)+('4-AdditionalInputs'!$R$34/'4-AdditionalInputs'!$C$34/12)</f>
        <v>0</v>
      </c>
      <c r="M126" s="41">
        <f>('4-AdditionalInputs'!$R$29/'4-AdditionalInputs'!$C$29/12)+('4-AdditionalInputs'!$R$30/'4-AdditionalInputs'!$C$30/12)+('4-AdditionalInputs'!$R$31/'4-AdditionalInputs'!$C$31/12)+('4-AdditionalInputs'!$R$32/'4-AdditionalInputs'!$C$32/12)+('4-AdditionalInputs'!$R$33/'4-AdditionalInputs'!$C$33/12)+('4-AdditionalInputs'!$R$34/'4-AdditionalInputs'!$C$34/12)</f>
        <v>0</v>
      </c>
      <c r="N126" s="41">
        <f>('4-AdditionalInputs'!$R$29/'4-AdditionalInputs'!$C$29/12)+('4-AdditionalInputs'!$R$30/'4-AdditionalInputs'!$C$30/12)+('4-AdditionalInputs'!$R$31/'4-AdditionalInputs'!$C$31/12)+('4-AdditionalInputs'!$R$32/'4-AdditionalInputs'!$C$32/12)+('4-AdditionalInputs'!$R$33/'4-AdditionalInputs'!$C$33/12)+('4-AdditionalInputs'!$R$34/'4-AdditionalInputs'!$C$34/12)</f>
        <v>0</v>
      </c>
      <c r="O126" s="41"/>
      <c r="P126" s="5"/>
      <c r="Q126" s="5"/>
    </row>
    <row r="127" spans="2:17" x14ac:dyDescent="0.15">
      <c r="B127" s="44" t="s">
        <v>335</v>
      </c>
      <c r="C127" s="42">
        <f>SUM(C125:C126)</f>
        <v>2750</v>
      </c>
      <c r="D127" s="42">
        <f t="shared" ref="D127:N127" si="21">SUM(D125:D126)</f>
        <v>2750</v>
      </c>
      <c r="E127" s="42">
        <f t="shared" si="21"/>
        <v>2750</v>
      </c>
      <c r="F127" s="42">
        <f t="shared" si="21"/>
        <v>2750</v>
      </c>
      <c r="G127" s="42">
        <f t="shared" si="21"/>
        <v>2750</v>
      </c>
      <c r="H127" s="42">
        <f t="shared" si="21"/>
        <v>2750</v>
      </c>
      <c r="I127" s="42">
        <f t="shared" si="21"/>
        <v>2750</v>
      </c>
      <c r="J127" s="42">
        <f t="shared" si="21"/>
        <v>2750</v>
      </c>
      <c r="K127" s="42">
        <f t="shared" si="21"/>
        <v>2750</v>
      </c>
      <c r="L127" s="42">
        <f t="shared" si="21"/>
        <v>2750</v>
      </c>
      <c r="M127" s="42">
        <f t="shared" si="21"/>
        <v>2750</v>
      </c>
      <c r="N127" s="42">
        <f t="shared" si="21"/>
        <v>2750</v>
      </c>
      <c r="O127" s="315">
        <f t="shared" si="17"/>
        <v>33000</v>
      </c>
      <c r="P127" s="5"/>
      <c r="Q127" s="5"/>
    </row>
    <row r="128" spans="2:17" x14ac:dyDescent="0.15">
      <c r="B128" s="5"/>
      <c r="C128" s="5"/>
      <c r="D128" s="5"/>
      <c r="E128" s="5"/>
      <c r="F128" s="5"/>
      <c r="G128" s="5"/>
      <c r="H128" s="5"/>
      <c r="I128" s="5"/>
      <c r="J128" s="5"/>
      <c r="K128" s="5"/>
      <c r="L128" s="5"/>
      <c r="M128" s="5"/>
      <c r="N128" s="5"/>
      <c r="O128" s="5"/>
      <c r="P128" s="5"/>
      <c r="Q128" s="5"/>
    </row>
    <row r="129" spans="2:17" x14ac:dyDescent="0.15">
      <c r="B129" s="5"/>
      <c r="C129" s="5"/>
      <c r="D129" s="5"/>
      <c r="E129" s="5"/>
      <c r="F129" s="5"/>
      <c r="G129" s="5"/>
      <c r="H129" s="5"/>
      <c r="I129" s="5"/>
      <c r="J129" s="5"/>
      <c r="K129" s="5"/>
      <c r="L129" s="5"/>
      <c r="M129" s="5"/>
      <c r="N129" s="5"/>
      <c r="O129" s="5"/>
      <c r="P129" s="5"/>
      <c r="Q129" s="5"/>
    </row>
    <row r="130" spans="2:17" x14ac:dyDescent="0.15">
      <c r="B130" s="5"/>
      <c r="C130" s="5"/>
      <c r="D130" s="5"/>
      <c r="E130" s="5"/>
      <c r="F130" s="5"/>
      <c r="G130" s="5"/>
      <c r="H130" s="5"/>
      <c r="I130" s="5"/>
      <c r="J130" s="5"/>
      <c r="K130" s="5"/>
      <c r="L130" s="5"/>
      <c r="M130" s="5"/>
      <c r="N130" s="5"/>
      <c r="O130" s="5"/>
      <c r="P130" s="5"/>
      <c r="Q130" s="5"/>
    </row>
    <row r="131" spans="2:17" ht="14" thickBot="1" x14ac:dyDescent="0.2">
      <c r="B131" s="344" t="s">
        <v>260</v>
      </c>
      <c r="C131" s="344"/>
      <c r="D131" s="344" t="s">
        <v>226</v>
      </c>
      <c r="E131" s="5"/>
      <c r="F131" s="5"/>
      <c r="G131" s="5"/>
      <c r="H131" s="5"/>
      <c r="I131" s="5"/>
      <c r="J131" s="5"/>
      <c r="K131" s="5"/>
      <c r="L131" s="5"/>
      <c r="M131" s="5"/>
      <c r="N131" s="5"/>
      <c r="O131" s="5"/>
      <c r="P131" s="5"/>
      <c r="Q131" s="5"/>
    </row>
    <row r="132" spans="2:17" ht="13" thickTop="1" x14ac:dyDescent="0.15">
      <c r="B132" s="322" t="s">
        <v>264</v>
      </c>
      <c r="C132" s="323">
        <f>TotalOperatingCapital-Working_Capital-Inventory-OtherStartUp</f>
        <v>9000</v>
      </c>
      <c r="D132" s="322"/>
      <c r="E132" s="5"/>
      <c r="F132" s="5"/>
      <c r="G132" s="5"/>
      <c r="H132" s="5"/>
      <c r="I132" s="5"/>
      <c r="J132" s="5"/>
      <c r="K132" s="5"/>
      <c r="L132" s="5"/>
      <c r="M132" s="5"/>
      <c r="N132" s="5"/>
      <c r="O132" s="5"/>
      <c r="P132" s="5"/>
      <c r="Q132" s="5"/>
    </row>
    <row r="133" spans="2:17" x14ac:dyDescent="0.15">
      <c r="B133" s="7" t="s">
        <v>289</v>
      </c>
      <c r="C133" s="60">
        <f>IF('4-AdditionalInputs'!C44=0,0,'Amortization&amp;Depreciation'!C132/'4-AdditionalInputs'!C44)</f>
        <v>3000</v>
      </c>
      <c r="D133" s="242">
        <f>+C133/12</f>
        <v>250</v>
      </c>
      <c r="E133" s="5"/>
      <c r="F133" s="5"/>
      <c r="G133" s="5"/>
      <c r="H133" s="5"/>
      <c r="I133" s="5"/>
      <c r="J133" s="5"/>
      <c r="K133" s="5"/>
      <c r="L133" s="5"/>
      <c r="M133" s="5"/>
      <c r="N133" s="5"/>
      <c r="O133" s="5"/>
      <c r="P133" s="5"/>
      <c r="Q133" s="5"/>
    </row>
    <row r="134" spans="2:17" x14ac:dyDescent="0.15">
      <c r="B134" s="7" t="s">
        <v>288</v>
      </c>
      <c r="C134" s="60">
        <f>+OtherStartUp</f>
        <v>0</v>
      </c>
      <c r="D134" s="7"/>
      <c r="E134" s="5"/>
      <c r="F134" s="5"/>
      <c r="G134" s="5"/>
      <c r="H134" s="5"/>
      <c r="I134" s="5"/>
      <c r="J134" s="5"/>
      <c r="K134" s="5"/>
      <c r="L134" s="5"/>
      <c r="M134" s="5"/>
      <c r="N134" s="5"/>
      <c r="O134" s="5"/>
      <c r="P134" s="5"/>
      <c r="Q134" s="5"/>
    </row>
    <row r="135" spans="2:17" x14ac:dyDescent="0.15">
      <c r="B135" s="7" t="s">
        <v>289</v>
      </c>
      <c r="C135" s="60">
        <f>IF('4-AdditionalInputs'!C44=0,0,C134/'4-AdditionalInputs'!C44)</f>
        <v>0</v>
      </c>
      <c r="D135" s="242">
        <f>+C135/12</f>
        <v>0</v>
      </c>
      <c r="E135" s="5"/>
      <c r="F135" s="5"/>
      <c r="G135" s="5"/>
      <c r="H135" s="5"/>
      <c r="I135" s="5"/>
      <c r="J135" s="5"/>
      <c r="K135" s="5"/>
      <c r="L135" s="5"/>
      <c r="M135" s="5"/>
      <c r="N135" s="5"/>
      <c r="O135" s="5"/>
      <c r="P135" s="5"/>
      <c r="Q135" s="5"/>
    </row>
    <row r="136" spans="2:17" x14ac:dyDescent="0.15">
      <c r="B136" s="26" t="s">
        <v>264</v>
      </c>
      <c r="C136" s="43" t="str">
        <f>'3a-SalesForecastYear1'!$C$16</f>
        <v>January</v>
      </c>
      <c r="D136" s="43" t="str">
        <f>'3a-SalesForecastYear1'!$D$16</f>
        <v>February</v>
      </c>
      <c r="E136" s="43" t="str">
        <f>'3a-SalesForecastYear1'!$E$16</f>
        <v>March</v>
      </c>
      <c r="F136" s="43" t="str">
        <f>'3a-SalesForecastYear1'!$F$16</f>
        <v>April</v>
      </c>
      <c r="G136" s="43" t="str">
        <f>'3a-SalesForecastYear1'!$G$16</f>
        <v>May</v>
      </c>
      <c r="H136" s="43" t="str">
        <f>'3a-SalesForecastYear1'!$H$16</f>
        <v>June</v>
      </c>
      <c r="I136" s="43" t="str">
        <f>'3a-SalesForecastYear1'!$I$16</f>
        <v>July</v>
      </c>
      <c r="J136" s="43" t="str">
        <f>'3a-SalesForecastYear1'!$J$16</f>
        <v>August</v>
      </c>
      <c r="K136" s="43" t="str">
        <f>'3a-SalesForecastYear1'!$K$16</f>
        <v>September</v>
      </c>
      <c r="L136" s="43" t="str">
        <f>'3a-SalesForecastYear1'!$L$16</f>
        <v>October</v>
      </c>
      <c r="M136" s="43" t="str">
        <f>'3a-SalesForecastYear1'!$M$16</f>
        <v>November</v>
      </c>
      <c r="N136" s="43" t="str">
        <f>'3a-SalesForecastYear1'!$N$16</f>
        <v>December</v>
      </c>
      <c r="O136" s="43" t="s">
        <v>8</v>
      </c>
      <c r="P136" s="5"/>
      <c r="Q136" s="5"/>
    </row>
    <row r="137" spans="2:17" x14ac:dyDescent="0.15">
      <c r="B137" s="26" t="s">
        <v>165</v>
      </c>
      <c r="C137" s="30"/>
      <c r="D137" s="30"/>
      <c r="E137" s="30"/>
      <c r="F137" s="30"/>
      <c r="G137" s="30"/>
      <c r="H137" s="30"/>
      <c r="I137" s="30"/>
      <c r="J137" s="30"/>
      <c r="K137" s="30"/>
      <c r="L137" s="30"/>
      <c r="M137" s="30"/>
      <c r="N137" s="30"/>
      <c r="O137" s="30"/>
      <c r="P137" s="5"/>
      <c r="Q137" s="5"/>
    </row>
    <row r="138" spans="2:17" x14ac:dyDescent="0.15">
      <c r="B138" s="44" t="s">
        <v>290</v>
      </c>
      <c r="C138" s="41">
        <f>+D133</f>
        <v>250</v>
      </c>
      <c r="D138" s="41">
        <f>IF(C139&lt;$C$132,$D$133,0)</f>
        <v>250</v>
      </c>
      <c r="E138" s="41">
        <f t="shared" ref="E138:N138" si="22">IF(D139&lt;$C$132,$D$133,0)</f>
        <v>250</v>
      </c>
      <c r="F138" s="41">
        <f t="shared" si="22"/>
        <v>250</v>
      </c>
      <c r="G138" s="41">
        <f t="shared" si="22"/>
        <v>250</v>
      </c>
      <c r="H138" s="41">
        <f t="shared" si="22"/>
        <v>250</v>
      </c>
      <c r="I138" s="41">
        <f t="shared" si="22"/>
        <v>250</v>
      </c>
      <c r="J138" s="41">
        <f t="shared" si="22"/>
        <v>250</v>
      </c>
      <c r="K138" s="41">
        <f t="shared" si="22"/>
        <v>250</v>
      </c>
      <c r="L138" s="41">
        <f t="shared" si="22"/>
        <v>250</v>
      </c>
      <c r="M138" s="41">
        <f t="shared" si="22"/>
        <v>250</v>
      </c>
      <c r="N138" s="41">
        <f t="shared" si="22"/>
        <v>250</v>
      </c>
      <c r="O138" s="315">
        <f>SUM(C138:N138)</f>
        <v>3000</v>
      </c>
      <c r="P138" s="5"/>
      <c r="Q138" s="5"/>
    </row>
    <row r="139" spans="2:17" x14ac:dyDescent="0.15">
      <c r="B139" s="44" t="s">
        <v>336</v>
      </c>
      <c r="C139" s="42">
        <f>+C138</f>
        <v>250</v>
      </c>
      <c r="D139" s="42">
        <f>+D138+C139</f>
        <v>500</v>
      </c>
      <c r="E139" s="42">
        <f t="shared" ref="E139:N139" si="23">+E138+D139</f>
        <v>750</v>
      </c>
      <c r="F139" s="42">
        <f t="shared" si="23"/>
        <v>1000</v>
      </c>
      <c r="G139" s="42">
        <f t="shared" si="23"/>
        <v>1250</v>
      </c>
      <c r="H139" s="42">
        <f t="shared" si="23"/>
        <v>1500</v>
      </c>
      <c r="I139" s="42">
        <f t="shared" si="23"/>
        <v>1750</v>
      </c>
      <c r="J139" s="42">
        <f t="shared" si="23"/>
        <v>2000</v>
      </c>
      <c r="K139" s="42">
        <f t="shared" si="23"/>
        <v>2250</v>
      </c>
      <c r="L139" s="42">
        <f t="shared" si="23"/>
        <v>2500</v>
      </c>
      <c r="M139" s="42">
        <f t="shared" si="23"/>
        <v>2750</v>
      </c>
      <c r="N139" s="42">
        <f t="shared" si="23"/>
        <v>3000</v>
      </c>
      <c r="O139" s="41"/>
      <c r="P139" s="5"/>
      <c r="Q139" s="5"/>
    </row>
    <row r="140" spans="2:17" x14ac:dyDescent="0.15">
      <c r="B140" s="26" t="s">
        <v>168</v>
      </c>
      <c r="C140" s="30"/>
      <c r="D140" s="30"/>
      <c r="E140" s="30"/>
      <c r="F140" s="30"/>
      <c r="G140" s="30"/>
      <c r="H140" s="30"/>
      <c r="I140" s="30"/>
      <c r="J140" s="30"/>
      <c r="K140" s="30"/>
      <c r="L140" s="30"/>
      <c r="M140" s="30"/>
      <c r="N140" s="30"/>
      <c r="O140" s="41"/>
      <c r="P140" s="5"/>
      <c r="Q140" s="5"/>
    </row>
    <row r="141" spans="2:17" x14ac:dyDescent="0.15">
      <c r="B141" s="44" t="s">
        <v>290</v>
      </c>
      <c r="C141" s="41">
        <f>IF(N139&lt;$C$132,$D$133,0)</f>
        <v>250</v>
      </c>
      <c r="D141" s="41">
        <f t="shared" ref="D141:N141" si="24">IF(C142&lt;$C$132,$D$133,0)</f>
        <v>250</v>
      </c>
      <c r="E141" s="41">
        <f t="shared" si="24"/>
        <v>250</v>
      </c>
      <c r="F141" s="41">
        <f t="shared" si="24"/>
        <v>250</v>
      </c>
      <c r="G141" s="41">
        <f t="shared" si="24"/>
        <v>250</v>
      </c>
      <c r="H141" s="41">
        <f t="shared" si="24"/>
        <v>250</v>
      </c>
      <c r="I141" s="41">
        <f t="shared" si="24"/>
        <v>250</v>
      </c>
      <c r="J141" s="41">
        <f t="shared" si="24"/>
        <v>250</v>
      </c>
      <c r="K141" s="41">
        <f t="shared" si="24"/>
        <v>250</v>
      </c>
      <c r="L141" s="41">
        <f t="shared" si="24"/>
        <v>250</v>
      </c>
      <c r="M141" s="41">
        <f t="shared" si="24"/>
        <v>250</v>
      </c>
      <c r="N141" s="41">
        <f t="shared" si="24"/>
        <v>250</v>
      </c>
      <c r="O141" s="315">
        <f t="shared" ref="O141" si="25">SUM(C141:N141)</f>
        <v>3000</v>
      </c>
      <c r="P141" s="5"/>
      <c r="Q141" s="5"/>
    </row>
    <row r="142" spans="2:17" x14ac:dyDescent="0.15">
      <c r="B142" s="44" t="s">
        <v>336</v>
      </c>
      <c r="C142" s="42">
        <f>+C141+N139</f>
        <v>3250</v>
      </c>
      <c r="D142" s="42">
        <f t="shared" ref="D142:N142" si="26">+D141+C142</f>
        <v>3500</v>
      </c>
      <c r="E142" s="42">
        <f t="shared" si="26"/>
        <v>3750</v>
      </c>
      <c r="F142" s="42">
        <f t="shared" si="26"/>
        <v>4000</v>
      </c>
      <c r="G142" s="42">
        <f t="shared" si="26"/>
        <v>4250</v>
      </c>
      <c r="H142" s="42">
        <f t="shared" si="26"/>
        <v>4500</v>
      </c>
      <c r="I142" s="42">
        <f t="shared" si="26"/>
        <v>4750</v>
      </c>
      <c r="J142" s="42">
        <f t="shared" si="26"/>
        <v>5000</v>
      </c>
      <c r="K142" s="42">
        <f t="shared" si="26"/>
        <v>5250</v>
      </c>
      <c r="L142" s="42">
        <f t="shared" si="26"/>
        <v>5500</v>
      </c>
      <c r="M142" s="42">
        <f t="shared" si="26"/>
        <v>5750</v>
      </c>
      <c r="N142" s="42">
        <f t="shared" si="26"/>
        <v>6000</v>
      </c>
      <c r="O142" s="41"/>
      <c r="P142" s="5"/>
      <c r="Q142" s="5"/>
    </row>
    <row r="143" spans="2:17" x14ac:dyDescent="0.15">
      <c r="B143" s="26" t="s">
        <v>169</v>
      </c>
      <c r="C143" s="30"/>
      <c r="D143" s="30"/>
      <c r="E143" s="30"/>
      <c r="F143" s="30"/>
      <c r="G143" s="30"/>
      <c r="H143" s="30"/>
      <c r="I143" s="30"/>
      <c r="J143" s="30"/>
      <c r="K143" s="30"/>
      <c r="L143" s="30"/>
      <c r="M143" s="30"/>
      <c r="N143" s="30"/>
      <c r="O143" s="41"/>
      <c r="P143" s="5"/>
      <c r="Q143" s="5"/>
    </row>
    <row r="144" spans="2:17" x14ac:dyDescent="0.15">
      <c r="B144" s="44" t="s">
        <v>290</v>
      </c>
      <c r="C144" s="41">
        <f>IF(N142&lt;$C$132,$D$133,0)</f>
        <v>250</v>
      </c>
      <c r="D144" s="41">
        <f t="shared" ref="D144:N144" si="27">IF(C145&lt;$C$132,$D$133,0)</f>
        <v>250</v>
      </c>
      <c r="E144" s="41">
        <f t="shared" si="27"/>
        <v>250</v>
      </c>
      <c r="F144" s="41">
        <f t="shared" si="27"/>
        <v>250</v>
      </c>
      <c r="G144" s="41">
        <f t="shared" si="27"/>
        <v>250</v>
      </c>
      <c r="H144" s="41">
        <f t="shared" si="27"/>
        <v>250</v>
      </c>
      <c r="I144" s="41">
        <f t="shared" si="27"/>
        <v>250</v>
      </c>
      <c r="J144" s="41">
        <f t="shared" si="27"/>
        <v>250</v>
      </c>
      <c r="K144" s="41">
        <f t="shared" si="27"/>
        <v>250</v>
      </c>
      <c r="L144" s="41">
        <f t="shared" si="27"/>
        <v>250</v>
      </c>
      <c r="M144" s="41">
        <f t="shared" si="27"/>
        <v>250</v>
      </c>
      <c r="N144" s="41">
        <f t="shared" si="27"/>
        <v>250</v>
      </c>
      <c r="O144" s="315">
        <f t="shared" ref="O144" si="28">SUM(C144:N144)</f>
        <v>3000</v>
      </c>
      <c r="P144" s="5"/>
      <c r="Q144" s="5"/>
    </row>
    <row r="145" spans="2:17" x14ac:dyDescent="0.15">
      <c r="B145" s="44" t="s">
        <v>336</v>
      </c>
      <c r="C145" s="42">
        <f>+C144+N142</f>
        <v>6250</v>
      </c>
      <c r="D145" s="42">
        <f t="shared" ref="D145" si="29">+D144+C145</f>
        <v>6500</v>
      </c>
      <c r="E145" s="42">
        <f t="shared" ref="E145" si="30">+E144+D145</f>
        <v>6750</v>
      </c>
      <c r="F145" s="42">
        <f t="shared" ref="F145" si="31">+F144+E145</f>
        <v>7000</v>
      </c>
      <c r="G145" s="42">
        <f t="shared" ref="G145" si="32">+G144+F145</f>
        <v>7250</v>
      </c>
      <c r="H145" s="42">
        <f t="shared" ref="H145" si="33">+H144+G145</f>
        <v>7500</v>
      </c>
      <c r="I145" s="42">
        <f t="shared" ref="I145" si="34">+I144+H145</f>
        <v>7750</v>
      </c>
      <c r="J145" s="42">
        <f t="shared" ref="J145" si="35">+J144+I145</f>
        <v>8000</v>
      </c>
      <c r="K145" s="42">
        <f t="shared" ref="K145" si="36">+K144+J145</f>
        <v>8250</v>
      </c>
      <c r="L145" s="42">
        <f t="shared" ref="L145" si="37">+L144+K145</f>
        <v>8500</v>
      </c>
      <c r="M145" s="42">
        <f t="shared" ref="M145" si="38">+M144+L145</f>
        <v>8750</v>
      </c>
      <c r="N145" s="42">
        <f t="shared" ref="N145" si="39">+N144+M145</f>
        <v>9000</v>
      </c>
      <c r="O145" s="41"/>
      <c r="P145" s="5"/>
      <c r="Q145" s="5"/>
    </row>
    <row r="146" spans="2:17" x14ac:dyDescent="0.15">
      <c r="B146" s="5"/>
      <c r="C146" s="5"/>
      <c r="D146" s="5"/>
      <c r="E146" s="5"/>
      <c r="F146" s="5"/>
      <c r="G146" s="5"/>
      <c r="H146" s="5"/>
      <c r="I146" s="5"/>
      <c r="J146" s="5"/>
      <c r="K146" s="5"/>
      <c r="L146" s="5"/>
      <c r="M146" s="5"/>
      <c r="N146" s="5"/>
      <c r="O146" s="5"/>
      <c r="P146" s="5"/>
      <c r="Q146" s="5"/>
    </row>
    <row r="147" spans="2:17" ht="14" thickBot="1" x14ac:dyDescent="0.2">
      <c r="B147" s="344" t="s">
        <v>288</v>
      </c>
      <c r="C147" s="344" t="str">
        <f>'3a-SalesForecastYear1'!$C$16</f>
        <v>January</v>
      </c>
      <c r="D147" s="344" t="str">
        <f>'3a-SalesForecastYear1'!$D$16</f>
        <v>February</v>
      </c>
      <c r="E147" s="344" t="str">
        <f>'3a-SalesForecastYear1'!$E$16</f>
        <v>March</v>
      </c>
      <c r="F147" s="344" t="str">
        <f>'3a-SalesForecastYear1'!$F$16</f>
        <v>April</v>
      </c>
      <c r="G147" s="344" t="str">
        <f>'3a-SalesForecastYear1'!$G$16</f>
        <v>May</v>
      </c>
      <c r="H147" s="344" t="str">
        <f>'3a-SalesForecastYear1'!$H$16</f>
        <v>June</v>
      </c>
      <c r="I147" s="344" t="str">
        <f>'3a-SalesForecastYear1'!$I$16</f>
        <v>July</v>
      </c>
      <c r="J147" s="344" t="str">
        <f>'3a-SalesForecastYear1'!$J$16</f>
        <v>August</v>
      </c>
      <c r="K147" s="344" t="str">
        <f>'3a-SalesForecastYear1'!$K$16</f>
        <v>September</v>
      </c>
      <c r="L147" s="344" t="str">
        <f>'3a-SalesForecastYear1'!$L$16</f>
        <v>October</v>
      </c>
      <c r="M147" s="344" t="str">
        <f>'3a-SalesForecastYear1'!$M$16</f>
        <v>November</v>
      </c>
      <c r="N147" s="344" t="str">
        <f>'3a-SalesForecastYear1'!$N$16</f>
        <v>December</v>
      </c>
      <c r="O147" s="344" t="s">
        <v>8</v>
      </c>
      <c r="P147" s="5"/>
      <c r="Q147" s="5"/>
    </row>
    <row r="148" spans="2:17" ht="13" thickTop="1" x14ac:dyDescent="0.15">
      <c r="B148" s="150" t="s">
        <v>165</v>
      </c>
      <c r="C148" s="343"/>
      <c r="D148" s="343"/>
      <c r="E148" s="343"/>
      <c r="F148" s="343"/>
      <c r="G148" s="343"/>
      <c r="H148" s="343"/>
      <c r="I148" s="343"/>
      <c r="J148" s="343"/>
      <c r="K148" s="343"/>
      <c r="L148" s="343"/>
      <c r="M148" s="343"/>
      <c r="N148" s="343"/>
      <c r="O148" s="343"/>
      <c r="P148" s="5"/>
      <c r="Q148" s="5"/>
    </row>
    <row r="149" spans="2:17" x14ac:dyDescent="0.15">
      <c r="B149" s="44" t="s">
        <v>290</v>
      </c>
      <c r="C149" s="41">
        <f>+D135</f>
        <v>0</v>
      </c>
      <c r="D149" s="41">
        <f>IF(C150&lt;$C$134,$D$135,0)</f>
        <v>0</v>
      </c>
      <c r="E149" s="41">
        <f t="shared" ref="E149:N149" si="40">IF(D150&lt;$C$134,$D$135,0)</f>
        <v>0</v>
      </c>
      <c r="F149" s="41">
        <f t="shared" si="40"/>
        <v>0</v>
      </c>
      <c r="G149" s="41">
        <f t="shared" si="40"/>
        <v>0</v>
      </c>
      <c r="H149" s="41">
        <f t="shared" si="40"/>
        <v>0</v>
      </c>
      <c r="I149" s="41">
        <f t="shared" si="40"/>
        <v>0</v>
      </c>
      <c r="J149" s="41">
        <f t="shared" si="40"/>
        <v>0</v>
      </c>
      <c r="K149" s="41">
        <f t="shared" si="40"/>
        <v>0</v>
      </c>
      <c r="L149" s="41">
        <f t="shared" si="40"/>
        <v>0</v>
      </c>
      <c r="M149" s="41">
        <f t="shared" si="40"/>
        <v>0</v>
      </c>
      <c r="N149" s="41">
        <f t="shared" si="40"/>
        <v>0</v>
      </c>
      <c r="O149" s="315">
        <f>SUM(C149:N149)</f>
        <v>0</v>
      </c>
      <c r="P149" s="5"/>
      <c r="Q149" s="5"/>
    </row>
    <row r="150" spans="2:17" x14ac:dyDescent="0.15">
      <c r="B150" s="44" t="s">
        <v>336</v>
      </c>
      <c r="C150" s="42">
        <f>+C149</f>
        <v>0</v>
      </c>
      <c r="D150" s="42">
        <f>+D149+C150</f>
        <v>0</v>
      </c>
      <c r="E150" s="42">
        <f t="shared" ref="E150:N150" si="41">+E149+D150</f>
        <v>0</v>
      </c>
      <c r="F150" s="42">
        <f t="shared" si="41"/>
        <v>0</v>
      </c>
      <c r="G150" s="42">
        <f t="shared" si="41"/>
        <v>0</v>
      </c>
      <c r="H150" s="42">
        <f t="shared" si="41"/>
        <v>0</v>
      </c>
      <c r="I150" s="42">
        <f t="shared" si="41"/>
        <v>0</v>
      </c>
      <c r="J150" s="42">
        <f t="shared" si="41"/>
        <v>0</v>
      </c>
      <c r="K150" s="42">
        <f t="shared" si="41"/>
        <v>0</v>
      </c>
      <c r="L150" s="42">
        <f t="shared" si="41"/>
        <v>0</v>
      </c>
      <c r="M150" s="42">
        <f t="shared" si="41"/>
        <v>0</v>
      </c>
      <c r="N150" s="42">
        <f t="shared" si="41"/>
        <v>0</v>
      </c>
      <c r="O150" s="41"/>
      <c r="P150" s="5"/>
      <c r="Q150" s="5"/>
    </row>
    <row r="151" spans="2:17" x14ac:dyDescent="0.15">
      <c r="B151" s="26" t="s">
        <v>168</v>
      </c>
      <c r="C151" s="30"/>
      <c r="D151" s="30"/>
      <c r="E151" s="30"/>
      <c r="F151" s="30"/>
      <c r="G151" s="30"/>
      <c r="H151" s="30"/>
      <c r="I151" s="30"/>
      <c r="J151" s="30"/>
      <c r="K151" s="30"/>
      <c r="L151" s="30"/>
      <c r="M151" s="30"/>
      <c r="N151" s="30"/>
      <c r="O151" s="41"/>
      <c r="P151" s="5"/>
      <c r="Q151" s="5"/>
    </row>
    <row r="152" spans="2:17" x14ac:dyDescent="0.15">
      <c r="B152" s="44" t="s">
        <v>245</v>
      </c>
      <c r="C152" s="41">
        <f>IF(N150&lt;$C$134,$D$135,0)</f>
        <v>0</v>
      </c>
      <c r="D152" s="41">
        <f>IF(C153&lt;$C$134,$D$135,0)</f>
        <v>0</v>
      </c>
      <c r="E152" s="41">
        <f t="shared" ref="E152:N152" si="42">IF(D153&lt;$C$134,$D$135,0)</f>
        <v>0</v>
      </c>
      <c r="F152" s="41">
        <f t="shared" si="42"/>
        <v>0</v>
      </c>
      <c r="G152" s="41">
        <f t="shared" si="42"/>
        <v>0</v>
      </c>
      <c r="H152" s="41">
        <f t="shared" si="42"/>
        <v>0</v>
      </c>
      <c r="I152" s="41">
        <f t="shared" si="42"/>
        <v>0</v>
      </c>
      <c r="J152" s="41">
        <f t="shared" si="42"/>
        <v>0</v>
      </c>
      <c r="K152" s="41">
        <f t="shared" si="42"/>
        <v>0</v>
      </c>
      <c r="L152" s="41">
        <f t="shared" si="42"/>
        <v>0</v>
      </c>
      <c r="M152" s="41">
        <f t="shared" si="42"/>
        <v>0</v>
      </c>
      <c r="N152" s="41">
        <f t="shared" si="42"/>
        <v>0</v>
      </c>
      <c r="O152" s="315">
        <f t="shared" ref="O152" si="43">SUM(C152:N152)</f>
        <v>0</v>
      </c>
      <c r="P152" s="5"/>
      <c r="Q152" s="5"/>
    </row>
    <row r="153" spans="2:17" x14ac:dyDescent="0.15">
      <c r="B153" s="44" t="s">
        <v>247</v>
      </c>
      <c r="C153" s="42">
        <f>+C152+N150</f>
        <v>0</v>
      </c>
      <c r="D153" s="42">
        <f>+D152+C153</f>
        <v>0</v>
      </c>
      <c r="E153" s="42">
        <f t="shared" ref="E153" si="44">+E152+D153</f>
        <v>0</v>
      </c>
      <c r="F153" s="42">
        <f t="shared" ref="F153" si="45">+F152+E153</f>
        <v>0</v>
      </c>
      <c r="G153" s="42">
        <f t="shared" ref="G153" si="46">+G152+F153</f>
        <v>0</v>
      </c>
      <c r="H153" s="42">
        <f t="shared" ref="H153" si="47">+H152+G153</f>
        <v>0</v>
      </c>
      <c r="I153" s="42">
        <f t="shared" ref="I153" si="48">+I152+H153</f>
        <v>0</v>
      </c>
      <c r="J153" s="42">
        <f t="shared" ref="J153" si="49">+J152+I153</f>
        <v>0</v>
      </c>
      <c r="K153" s="42">
        <f t="shared" ref="K153" si="50">+K152+J153</f>
        <v>0</v>
      </c>
      <c r="L153" s="42">
        <f t="shared" ref="L153" si="51">+L152+K153</f>
        <v>0</v>
      </c>
      <c r="M153" s="42">
        <f t="shared" ref="M153" si="52">+M152+L153</f>
        <v>0</v>
      </c>
      <c r="N153" s="42">
        <f t="shared" ref="N153" si="53">+N152+M153</f>
        <v>0</v>
      </c>
      <c r="O153" s="41"/>
      <c r="P153" s="5"/>
      <c r="Q153" s="5"/>
    </row>
    <row r="154" spans="2:17" x14ac:dyDescent="0.15">
      <c r="B154" s="26" t="s">
        <v>169</v>
      </c>
      <c r="C154" s="30"/>
      <c r="D154" s="30"/>
      <c r="E154" s="30"/>
      <c r="F154" s="30"/>
      <c r="G154" s="30"/>
      <c r="H154" s="30"/>
      <c r="I154" s="30"/>
      <c r="J154" s="30"/>
      <c r="K154" s="30"/>
      <c r="L154" s="30"/>
      <c r="M154" s="30"/>
      <c r="N154" s="30"/>
      <c r="O154" s="41"/>
      <c r="P154" s="5"/>
      <c r="Q154" s="5"/>
    </row>
    <row r="155" spans="2:17" x14ac:dyDescent="0.15">
      <c r="B155" s="44" t="s">
        <v>245</v>
      </c>
      <c r="C155" s="41">
        <f>IF(N153&lt;$C$134,$D$135,0)</f>
        <v>0</v>
      </c>
      <c r="D155" s="41">
        <f>IF(C156&lt;$C$134,$D$135,0)</f>
        <v>0</v>
      </c>
      <c r="E155" s="41">
        <f t="shared" ref="E155:N155" si="54">IF(D156&lt;$C$134,$D$135,0)</f>
        <v>0</v>
      </c>
      <c r="F155" s="41">
        <f t="shared" si="54"/>
        <v>0</v>
      </c>
      <c r="G155" s="41">
        <f t="shared" si="54"/>
        <v>0</v>
      </c>
      <c r="H155" s="41">
        <f t="shared" si="54"/>
        <v>0</v>
      </c>
      <c r="I155" s="41">
        <f t="shared" si="54"/>
        <v>0</v>
      </c>
      <c r="J155" s="41">
        <f t="shared" si="54"/>
        <v>0</v>
      </c>
      <c r="K155" s="41">
        <f t="shared" si="54"/>
        <v>0</v>
      </c>
      <c r="L155" s="41">
        <f t="shared" si="54"/>
        <v>0</v>
      </c>
      <c r="M155" s="41">
        <f t="shared" si="54"/>
        <v>0</v>
      </c>
      <c r="N155" s="41">
        <f t="shared" si="54"/>
        <v>0</v>
      </c>
      <c r="O155" s="315">
        <f t="shared" ref="O155" si="55">SUM(C155:N155)</f>
        <v>0</v>
      </c>
      <c r="P155" s="5"/>
      <c r="Q155" s="5"/>
    </row>
    <row r="156" spans="2:17" x14ac:dyDescent="0.15">
      <c r="B156" s="44" t="s">
        <v>335</v>
      </c>
      <c r="C156" s="42">
        <f>+C155+N153</f>
        <v>0</v>
      </c>
      <c r="D156" s="42">
        <f>+D155+C156</f>
        <v>0</v>
      </c>
      <c r="E156" s="42">
        <f t="shared" ref="E156" si="56">+E155+D156</f>
        <v>0</v>
      </c>
      <c r="F156" s="42">
        <f t="shared" ref="F156" si="57">+F155+E156</f>
        <v>0</v>
      </c>
      <c r="G156" s="42">
        <f t="shared" ref="G156" si="58">+G155+F156</f>
        <v>0</v>
      </c>
      <c r="H156" s="42">
        <f t="shared" ref="H156" si="59">+H155+G156</f>
        <v>0</v>
      </c>
      <c r="I156" s="42">
        <f t="shared" ref="I156" si="60">+I155+H156</f>
        <v>0</v>
      </c>
      <c r="J156" s="42">
        <f t="shared" ref="J156" si="61">+J155+I156</f>
        <v>0</v>
      </c>
      <c r="K156" s="42">
        <f t="shared" ref="K156" si="62">+K155+J156</f>
        <v>0</v>
      </c>
      <c r="L156" s="42">
        <f t="shared" ref="L156" si="63">+L155+K156</f>
        <v>0</v>
      </c>
      <c r="M156" s="42">
        <f t="shared" ref="M156" si="64">+M155+L156</f>
        <v>0</v>
      </c>
      <c r="N156" s="42">
        <f t="shared" ref="N156" si="65">+N155+M156</f>
        <v>0</v>
      </c>
      <c r="O156" s="41"/>
      <c r="P156" s="5"/>
      <c r="Q156" s="5"/>
    </row>
    <row r="157" spans="2:17" x14ac:dyDescent="0.15">
      <c r="B157" s="5"/>
      <c r="C157" s="5"/>
      <c r="D157" s="5"/>
      <c r="E157" s="5"/>
      <c r="F157" s="5"/>
      <c r="G157" s="5"/>
      <c r="H157" s="5"/>
      <c r="I157" s="5"/>
      <c r="J157" s="5"/>
      <c r="K157" s="5"/>
      <c r="L157" s="5"/>
      <c r="M157" s="5"/>
      <c r="N157" s="5"/>
      <c r="O157" s="5"/>
      <c r="P157" s="5"/>
      <c r="Q157" s="5"/>
    </row>
    <row r="158" spans="2:17" x14ac:dyDescent="0.15">
      <c r="B158" s="5"/>
      <c r="C158" s="5"/>
      <c r="D158" s="5"/>
      <c r="E158" s="5"/>
      <c r="F158" s="5"/>
      <c r="G158" s="5"/>
      <c r="H158" s="5"/>
      <c r="I158" s="5"/>
      <c r="J158" s="5"/>
      <c r="K158" s="5"/>
      <c r="L158" s="5"/>
      <c r="M158" s="5"/>
      <c r="N158" s="5"/>
      <c r="O158" s="5"/>
      <c r="P158" s="5"/>
      <c r="Q158" s="5"/>
    </row>
    <row r="159" spans="2:17" x14ac:dyDescent="0.15">
      <c r="B159" s="5"/>
      <c r="C159" s="5"/>
      <c r="D159" s="5"/>
      <c r="E159" s="5"/>
      <c r="F159" s="5"/>
      <c r="G159" s="5"/>
      <c r="H159" s="5"/>
      <c r="I159" s="5"/>
      <c r="J159" s="5"/>
      <c r="K159" s="5"/>
      <c r="L159" s="5"/>
      <c r="M159" s="5"/>
      <c r="N159" s="5"/>
      <c r="O159" s="5"/>
      <c r="P159" s="5"/>
      <c r="Q159" s="5"/>
    </row>
  </sheetData>
  <sheetProtection formatColumns="0" formatRows="0"/>
  <mergeCells count="8">
    <mergeCell ref="B2:E2"/>
    <mergeCell ref="B108:C108"/>
    <mergeCell ref="E4:G6"/>
    <mergeCell ref="B68:C68"/>
    <mergeCell ref="B88:C88"/>
    <mergeCell ref="B8:C8"/>
    <mergeCell ref="B28:C28"/>
    <mergeCell ref="B48:C48"/>
  </mergeCells>
  <phoneticPr fontId="3" type="noConversion"/>
  <hyperlinks>
    <hyperlink ref="E4:G6" location="'1-StartingPoint'!A1" display="Return to Starting Point" xr:uid="{00000000-0004-0000-1200-000000000000}"/>
  </hyperlinks>
  <pageMargins left="0.25" right="0.25" top="0.75" bottom="0.75" header="0.3" footer="0.3"/>
  <pageSetup scale="71" fitToHeight="3" orientation="landscape" r:id="rId1"/>
  <headerFooter scaleWithDoc="0">
    <oddHeader>&amp;C&amp;"Gill Sans MT,Regular"&amp;12Amortization and Depreciation Schedule</oddHeader>
  </headerFooter>
  <rowBreaks count="3" manualBreakCount="3">
    <brk id="46" min="1" max="14" man="1"/>
    <brk id="86" min="1" max="14" man="1"/>
    <brk id="129" min="1" max="14"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19</vt:i4>
      </vt:variant>
      <vt:variant>
        <vt:lpstr>Named Ranges</vt:lpstr>
      </vt:variant>
      <vt:variant>
        <vt:i4>95</vt:i4>
      </vt:variant>
    </vt:vector>
  </HeadingPairs>
  <TitlesOfParts>
    <vt:vector size="114" baseType="lpstr">
      <vt:lpstr>Directions</vt:lpstr>
      <vt:lpstr>1-StartingPoint</vt:lpstr>
      <vt:lpstr>2a-PayrollYear1</vt:lpstr>
      <vt:lpstr>2b-PayrollYrs1-3</vt:lpstr>
      <vt:lpstr>3a-SalesForecastYear1</vt:lpstr>
      <vt:lpstr>3b-SalesForecastYrs1-3</vt:lpstr>
      <vt:lpstr>4-AdditionalInputs</vt:lpstr>
      <vt:lpstr>5a-OpExYear1</vt:lpstr>
      <vt:lpstr>5b-OpExYrs1-3</vt:lpstr>
      <vt:lpstr>6a-CashFlowYear1</vt:lpstr>
      <vt:lpstr>6b-CashFlowYrs1-3</vt:lpstr>
      <vt:lpstr>7a-IncomeStatementYear1</vt:lpstr>
      <vt:lpstr>7b-IncomeStatementYrs1-3</vt:lpstr>
      <vt:lpstr>8-BalanceSheet</vt:lpstr>
      <vt:lpstr>BreakevenAnalysis</vt:lpstr>
      <vt:lpstr>FinancialRatios</vt:lpstr>
      <vt:lpstr>DiagnosticTools</vt:lpstr>
      <vt:lpstr>COGS Calculator</vt:lpstr>
      <vt:lpstr>Amortization&amp;Depreciation</vt:lpstr>
      <vt:lpstr>AddLoans</vt:lpstr>
      <vt:lpstr>Advertising</vt:lpstr>
      <vt:lpstr>Buildings</vt:lpstr>
      <vt:lpstr>Category1</vt:lpstr>
      <vt:lpstr>Category1_Annual_Sales</vt:lpstr>
      <vt:lpstr>Category2</vt:lpstr>
      <vt:lpstr>Category2_Annual_Sales</vt:lpstr>
      <vt:lpstr>Category3</vt:lpstr>
      <vt:lpstr>Category3_Annual_Sales</vt:lpstr>
      <vt:lpstr>Category4</vt:lpstr>
      <vt:lpstr>Category4_Annual_Sales</vt:lpstr>
      <vt:lpstr>Category5</vt:lpstr>
      <vt:lpstr>Category5_Annual_Sales</vt:lpstr>
      <vt:lpstr>Category6</vt:lpstr>
      <vt:lpstr>Category6_Annual_Sales</vt:lpstr>
      <vt:lpstr>Catergory6</vt:lpstr>
      <vt:lpstr>CCDebt</vt:lpstr>
      <vt:lpstr>COGS_Annual_Total</vt:lpstr>
      <vt:lpstr>CommLoan</vt:lpstr>
      <vt:lpstr>CommMortgage</vt:lpstr>
      <vt:lpstr>Equipment</vt:lpstr>
      <vt:lpstr>Furniture</vt:lpstr>
      <vt:lpstr>Growth_Rate_Yr2</vt:lpstr>
      <vt:lpstr>Growth_Rate_Yr3</vt:lpstr>
      <vt:lpstr>'3a-SalesForecastYear1'!Hours</vt:lpstr>
      <vt:lpstr>Inventory</vt:lpstr>
      <vt:lpstr>Land</vt:lpstr>
      <vt:lpstr>LeaseImprovements</vt:lpstr>
      <vt:lpstr>LegalAcctFees</vt:lpstr>
      <vt:lpstr>Licenses</vt:lpstr>
      <vt:lpstr>Margin_Annual_Total</vt:lpstr>
      <vt:lpstr>Misc_Expenses</vt:lpstr>
      <vt:lpstr>NetIncomeY1</vt:lpstr>
      <vt:lpstr>NetIncomeY2</vt:lpstr>
      <vt:lpstr>NetIncomeY3</vt:lpstr>
      <vt:lpstr>OfficeSupplies_Expenses</vt:lpstr>
      <vt:lpstr>Other_Expenses</vt:lpstr>
      <vt:lpstr>OtherBankDebt</vt:lpstr>
      <vt:lpstr>OtherFixedAssets</vt:lpstr>
      <vt:lpstr>OtherStartUp</vt:lpstr>
      <vt:lpstr>OutsideInvest</vt:lpstr>
      <vt:lpstr>OwnerEquity</vt:lpstr>
      <vt:lpstr>PreOpenWages</vt:lpstr>
      <vt:lpstr>PrepaidInsurance</vt:lpstr>
      <vt:lpstr>'1-StartingPoint'!Print_Area</vt:lpstr>
      <vt:lpstr>'2a-PayrollYear1'!Print_Area</vt:lpstr>
      <vt:lpstr>'2b-PayrollYrs1-3'!Print_Area</vt:lpstr>
      <vt:lpstr>'3a-SalesForecastYear1'!Print_Area</vt:lpstr>
      <vt:lpstr>'3b-SalesForecastYrs1-3'!Print_Area</vt:lpstr>
      <vt:lpstr>'4-AdditionalInputs'!Print_Area</vt:lpstr>
      <vt:lpstr>'5a-OpExYear1'!Print_Area</vt:lpstr>
      <vt:lpstr>'5b-OpExYrs1-3'!Print_Area</vt:lpstr>
      <vt:lpstr>'6a-CashFlowYear1'!Print_Area</vt:lpstr>
      <vt:lpstr>'6b-CashFlowYrs1-3'!Print_Area</vt:lpstr>
      <vt:lpstr>'7a-IncomeStatementYear1'!Print_Area</vt:lpstr>
      <vt:lpstr>'7b-IncomeStatementYrs1-3'!Print_Area</vt:lpstr>
      <vt:lpstr>'8-BalanceSheet'!Print_Area</vt:lpstr>
      <vt:lpstr>'Amortization&amp;Depreciation'!Print_Area</vt:lpstr>
      <vt:lpstr>BreakevenAnalysis!Print_Area</vt:lpstr>
      <vt:lpstr>'COGS Calculator'!Print_Area</vt:lpstr>
      <vt:lpstr>DiagnosticTools!Print_Area</vt:lpstr>
      <vt:lpstr>Directions!Print_Area</vt:lpstr>
      <vt:lpstr>FinancialRatios!Print_Area</vt:lpstr>
      <vt:lpstr>'3b-SalesForecastYrs1-3'!Print_Titles</vt:lpstr>
      <vt:lpstr>'6b-CashFlowYrs1-3'!Print_Titles</vt:lpstr>
      <vt:lpstr>RentDeposit</vt:lpstr>
      <vt:lpstr>Sales_Annual_Total</vt:lpstr>
      <vt:lpstr>Supplies</vt:lpstr>
      <vt:lpstr>Total_Fixed_Assets</vt:lpstr>
      <vt:lpstr>TotalFixedAssets</vt:lpstr>
      <vt:lpstr>TotalFunding</vt:lpstr>
      <vt:lpstr>TotalOperatingCapital</vt:lpstr>
      <vt:lpstr>TotalRequiredFunds</vt:lpstr>
      <vt:lpstr>Unit1</vt:lpstr>
      <vt:lpstr>Unit1_Annual</vt:lpstr>
      <vt:lpstr>Unit1_Annual_Sales</vt:lpstr>
      <vt:lpstr>Unit2</vt:lpstr>
      <vt:lpstr>Unit2_Annual</vt:lpstr>
      <vt:lpstr>Unit2_Annual_Sales</vt:lpstr>
      <vt:lpstr>Unit3</vt:lpstr>
      <vt:lpstr>Unit3_Annual</vt:lpstr>
      <vt:lpstr>Unit3_Annual_Sales</vt:lpstr>
      <vt:lpstr>Unit4</vt:lpstr>
      <vt:lpstr>Unit4_Annual</vt:lpstr>
      <vt:lpstr>Unit5</vt:lpstr>
      <vt:lpstr>Unit5_Annual</vt:lpstr>
      <vt:lpstr>Unit6</vt:lpstr>
      <vt:lpstr>Unit6_Annual</vt:lpstr>
      <vt:lpstr>Units_Annual_Total</vt:lpstr>
      <vt:lpstr>UtilityDeposit</vt:lpstr>
      <vt:lpstr>VehicleLoan</vt:lpstr>
      <vt:lpstr>Vehicles</vt:lpstr>
      <vt:lpstr>Working_Capital</vt:lpstr>
      <vt:lpstr>WorkingCapital</vt:lpstr>
      <vt:lpstr>Y1EndingCashBal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Simple Steps for Starting Your Business</dc:title>
  <dc:subject>Business start-up financial forecast</dc:subject>
  <dc:creator>Heather Hendy</dc:creator>
  <cp:keywords>business, start-up, financial, forecast</cp:keywords>
  <dc:description>This SCORE Workbook is designed to help start-up companies make financial projections that will allow them to make a "go-no go" decision about starting a new company.</dc:description>
  <cp:lastModifiedBy>David Nelson</cp:lastModifiedBy>
  <cp:lastPrinted>2013-01-14T15:22:16Z</cp:lastPrinted>
  <dcterms:created xsi:type="dcterms:W3CDTF">2011-04-16T18:04:50Z</dcterms:created>
  <dcterms:modified xsi:type="dcterms:W3CDTF">2025-03-20T15:52:22Z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bdb9afe3-6fa4-4010-9a16-909431229847</vt:lpwstr>
  </property>
</Properties>
</file>